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mtgov.sharepoint.com/sites/DNR_DOAgCPRGApplication/Shared Documents/General/Application Build/0 DNRC-DOAg Merged Final/"/>
    </mc:Choice>
  </mc:AlternateContent>
  <xr:revisionPtr revIDLastSave="21" documentId="8_{E899637A-5006-410C-9532-6DF6B1694311}" xr6:coauthVersionLast="47" xr6:coauthVersionMax="47" xr10:uidLastSave="{E3C7420C-AFEE-47DD-B8FA-AB764EF6832A}"/>
  <bookViews>
    <workbookView xWindow="31608" yWindow="648" windowWidth="28560" windowHeight="16212" tabRatio="916" xr2:uid="{F8A7A616-C916-4DCE-A772-C711EC76A4F2}"/>
  </bookViews>
  <sheets>
    <sheet name="Summary" sheetId="16" r:id="rId1"/>
    <sheet name="1 Forest Management" sheetId="1" r:id="rId2"/>
    <sheet name="2 Urban Forests" sheetId="21" r:id="rId3"/>
    <sheet name="3 Coal Seams" sheetId="25" r:id="rId4"/>
    <sheet name="4 Algal" sheetId="19" r:id="rId5"/>
    <sheet name="5 Fertilzer" sheetId="5" r:id="rId6"/>
    <sheet name="6 Ranchland" sheetId="23" r:id="rId7"/>
    <sheet name="7 Cattle" sheetId="24" r:id="rId8"/>
    <sheet name="References" sheetId="26" r:id="rId9"/>
  </sheets>
  <externalReferences>
    <externalReference r:id="rId10"/>
  </externalReferences>
  <definedNames>
    <definedName name="NOrg">[1]constants!$B$20</definedName>
    <definedName name="_xlnm.Print_Area" localSheetId="4">'4 Algal'!$A$1:$J$102</definedName>
    <definedName name="VolOrg">[1]constants!$B$21</definedName>
    <definedName name="VolSyn">[1]constants!$B$22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6" l="1"/>
  <c r="B103" i="1"/>
  <c r="B102" i="1"/>
  <c r="A95" i="1"/>
  <c r="H82" i="24"/>
  <c r="G82" i="24" s="1"/>
  <c r="G83" i="24" s="1"/>
  <c r="G84" i="24" s="1"/>
  <c r="G85" i="24" s="1"/>
  <c r="G86" i="24" s="1"/>
  <c r="F82" i="24"/>
  <c r="E82" i="24"/>
  <c r="E83" i="24" s="1"/>
  <c r="E84" i="24" s="1"/>
  <c r="E85" i="24" s="1"/>
  <c r="E86" i="24" s="1"/>
  <c r="D82" i="24"/>
  <c r="B87" i="24"/>
  <c r="F83" i="24" l="1"/>
  <c r="F84" i="24" s="1"/>
  <c r="F85" i="24" s="1"/>
  <c r="F86" i="24" s="1"/>
  <c r="C82" i="24"/>
  <c r="C83" i="24" s="1"/>
  <c r="C84" i="24" s="1"/>
  <c r="C85" i="24" s="1"/>
  <c r="C86" i="24" s="1"/>
  <c r="E87" i="24"/>
  <c r="G87" i="24"/>
  <c r="H83" i="24"/>
  <c r="H84" i="24" s="1"/>
  <c r="H85" i="24" s="1"/>
  <c r="H86" i="24" s="1"/>
  <c r="D83" i="24"/>
  <c r="D84" i="24" s="1"/>
  <c r="D85" i="24" s="1"/>
  <c r="D86" i="24" s="1"/>
  <c r="F87" i="24" l="1"/>
  <c r="H87" i="24"/>
  <c r="C87" i="24"/>
  <c r="D87" i="24"/>
  <c r="B102" i="19"/>
  <c r="A85" i="19"/>
  <c r="A91" i="19" s="1"/>
  <c r="C35" i="19"/>
  <c r="B42" i="19" s="1"/>
  <c r="C42" i="19" s="1"/>
  <c r="D42" i="19" s="1"/>
  <c r="E42" i="19" s="1"/>
  <c r="F42" i="19" s="1"/>
  <c r="B49" i="19" s="1"/>
  <c r="C49" i="19" s="1"/>
  <c r="D49" i="19" s="1"/>
  <c r="C37" i="19"/>
  <c r="B44" i="19" s="1"/>
  <c r="C44" i="19" s="1"/>
  <c r="D44" i="19" s="1"/>
  <c r="E44" i="19" s="1"/>
  <c r="F44" i="19" s="1"/>
  <c r="B51" i="19" s="1"/>
  <c r="C51" i="19" s="1"/>
  <c r="D51" i="19" s="1"/>
  <c r="E51" i="19" s="1"/>
  <c r="C36" i="19"/>
  <c r="B43" i="19" s="1"/>
  <c r="C43" i="19" s="1"/>
  <c r="D43" i="19" s="1"/>
  <c r="E43" i="19" s="1"/>
  <c r="F43" i="19" s="1"/>
  <c r="B50" i="19" s="1"/>
  <c r="C50" i="19" s="1"/>
  <c r="D50" i="19" s="1"/>
  <c r="E50" i="19" s="1"/>
  <c r="E49" i="19" l="1"/>
  <c r="D52" i="19"/>
  <c r="E52" i="19" s="1"/>
  <c r="A89" i="19" s="1"/>
  <c r="A98" i="24" l="1"/>
  <c r="A99" i="24" s="1"/>
  <c r="A108" i="24" s="1"/>
  <c r="A115" i="24" s="1"/>
  <c r="B142" i="24" s="1"/>
  <c r="B143" i="24" s="1"/>
  <c r="B144" i="24" s="1"/>
  <c r="B145" i="24" s="1"/>
  <c r="B146" i="24" s="1"/>
  <c r="B147" i="24" s="1"/>
  <c r="A125" i="24"/>
  <c r="A124" i="24"/>
  <c r="E11" i="16"/>
  <c r="D11" i="16"/>
  <c r="B17" i="25"/>
  <c r="F15" i="25" s="1"/>
  <c r="F11" i="16" s="1"/>
  <c r="E15" i="25"/>
  <c r="D15" i="25"/>
  <c r="E72" i="25"/>
  <c r="D72" i="25"/>
  <c r="C68" i="25"/>
  <c r="C69" i="25"/>
  <c r="C70" i="25"/>
  <c r="C71" i="25"/>
  <c r="C67" i="25"/>
  <c r="A63" i="25"/>
  <c r="B67" i="25" s="1"/>
  <c r="B68" i="25" s="1"/>
  <c r="A44" i="25"/>
  <c r="A45" i="25" s="1"/>
  <c r="A47" i="25" s="1"/>
  <c r="A59" i="25" s="1"/>
  <c r="B30" i="25"/>
  <c r="A50" i="25" s="1"/>
  <c r="D67" i="24"/>
  <c r="C72" i="24" s="1"/>
  <c r="B76" i="24"/>
  <c r="A63" i="24"/>
  <c r="A64" i="24" s="1"/>
  <c r="A43" i="24"/>
  <c r="A41" i="24"/>
  <c r="A42" i="24" s="1"/>
  <c r="A38" i="24"/>
  <c r="B54" i="24"/>
  <c r="B23" i="24"/>
  <c r="E10" i="16"/>
  <c r="E13" i="16"/>
  <c r="E14" i="16"/>
  <c r="D14" i="16"/>
  <c r="F14" i="16" s="1"/>
  <c r="D13" i="16"/>
  <c r="F13" i="16" s="1"/>
  <c r="D10" i="16"/>
  <c r="F10" i="16" s="1"/>
  <c r="B18" i="23"/>
  <c r="D16" i="23"/>
  <c r="C16" i="23"/>
  <c r="B49" i="23"/>
  <c r="C46" i="23"/>
  <c r="C47" i="23"/>
  <c r="C48" i="23"/>
  <c r="C45" i="23"/>
  <c r="E78" i="5"/>
  <c r="D78" i="5"/>
  <c r="A25" i="23"/>
  <c r="A109" i="24" l="1"/>
  <c r="A118" i="24"/>
  <c r="A120" i="24" s="1"/>
  <c r="A123" i="24" s="1"/>
  <c r="A127" i="24" s="1"/>
  <c r="A130" i="24" s="1"/>
  <c r="B69" i="25"/>
  <c r="B70" i="25" s="1"/>
  <c r="B71" i="25" s="1"/>
  <c r="B72" i="25"/>
  <c r="A55" i="25"/>
  <c r="A57" i="25" s="1"/>
  <c r="A58" i="25" s="1"/>
  <c r="C71" i="24"/>
  <c r="C75" i="24"/>
  <c r="C74" i="24"/>
  <c r="C73" i="24"/>
  <c r="A44" i="24"/>
  <c r="A46" i="24" s="1"/>
  <c r="E16" i="23"/>
  <c r="D49" i="23"/>
  <c r="E49" i="23" s="1"/>
  <c r="C50" i="24" l="1"/>
  <c r="C51" i="24"/>
  <c r="A110" i="24"/>
  <c r="A111" i="24" s="1"/>
  <c r="B137" i="24" s="1"/>
  <c r="A128" i="24"/>
  <c r="A131" i="24" s="1"/>
  <c r="B138" i="24" s="1"/>
  <c r="B139" i="24" s="1"/>
  <c r="C142" i="24" s="1"/>
  <c r="D76" i="24"/>
  <c r="C53" i="24"/>
  <c r="C52" i="24"/>
  <c r="C143" i="24" l="1"/>
  <c r="C144" i="24" s="1"/>
  <c r="C145" i="24" s="1"/>
  <c r="C146" i="24" s="1"/>
  <c r="E76" i="24"/>
  <c r="D19" i="24" s="1"/>
  <c r="C19" i="24"/>
  <c r="D54" i="24"/>
  <c r="D147" i="24" l="1"/>
  <c r="E54" i="24"/>
  <c r="D18" i="24" s="1"/>
  <c r="C18" i="24"/>
  <c r="E147" i="24" l="1"/>
  <c r="D20" i="24" s="1"/>
  <c r="D21" i="24" s="1"/>
  <c r="E15" i="16" s="1"/>
  <c r="C20" i="24"/>
  <c r="C21" i="24" s="1"/>
  <c r="C16" i="16"/>
  <c r="E58" i="19"/>
  <c r="D64" i="19" s="1"/>
  <c r="F64" i="19" s="1"/>
  <c r="C58" i="19"/>
  <c r="B64" i="19" s="1"/>
  <c r="C64" i="19" s="1"/>
  <c r="G64" i="19" s="1"/>
  <c r="B19" i="19"/>
  <c r="C18" i="5"/>
  <c r="E18" i="5" s="1"/>
  <c r="B78" i="5"/>
  <c r="A31" i="5"/>
  <c r="A39" i="5" s="1"/>
  <c r="A42" i="5" s="1"/>
  <c r="E16" i="21"/>
  <c r="D16" i="21"/>
  <c r="C16" i="21"/>
  <c r="D46" i="21"/>
  <c r="E46" i="21" s="1"/>
  <c r="F46" i="21" s="1"/>
  <c r="B57" i="21" s="1"/>
  <c r="C57" i="21" s="1"/>
  <c r="E21" i="24" l="1"/>
  <c r="F15" i="16" s="1"/>
  <c r="D15" i="16"/>
  <c r="H64" i="19"/>
  <c r="D43" i="21"/>
  <c r="D44" i="21"/>
  <c r="D45" i="21"/>
  <c r="D47" i="21"/>
  <c r="D42" i="21"/>
  <c r="B37" i="21"/>
  <c r="B38" i="21" s="1"/>
  <c r="C48" i="21"/>
  <c r="C49" i="21" s="1"/>
  <c r="B48" i="21"/>
  <c r="B49" i="21" s="1"/>
  <c r="D49" i="21" s="1"/>
  <c r="E49" i="21" s="1"/>
  <c r="F49" i="21" s="1"/>
  <c r="E37" i="21"/>
  <c r="D37" i="21"/>
  <c r="C37" i="21"/>
  <c r="C38" i="21" s="1"/>
  <c r="B133" i="1"/>
  <c r="D120" i="1"/>
  <c r="C120" i="1"/>
  <c r="B120" i="1"/>
  <c r="B58" i="21" l="1"/>
  <c r="C58" i="21" s="1"/>
  <c r="D48" i="21"/>
  <c r="B137" i="1"/>
  <c r="B138" i="1" s="1"/>
  <c r="B139" i="1" s="1"/>
  <c r="C137" i="1"/>
  <c r="C138" i="1" s="1"/>
  <c r="C139" i="1" s="1"/>
  <c r="E137" i="1"/>
  <c r="E138" i="1" s="1"/>
  <c r="E140" i="1" s="1"/>
  <c r="F19" i="1" s="1"/>
  <c r="F20" i="1" s="1"/>
  <c r="D88" i="1"/>
  <c r="D89" i="1"/>
  <c r="D139" i="1" l="1"/>
  <c r="C19" i="1" s="1"/>
  <c r="D19" i="1" s="1"/>
  <c r="B104" i="1"/>
  <c r="C18" i="1" s="1"/>
  <c r="C102" i="1"/>
  <c r="C103" i="1"/>
  <c r="D103" i="1" s="1"/>
  <c r="E39" i="1"/>
  <c r="F39" i="1" s="1"/>
  <c r="H39" i="1" s="1"/>
  <c r="E53" i="1" s="1"/>
  <c r="D102" i="1" l="1"/>
  <c r="D104" i="1" s="1"/>
  <c r="D18" i="1" s="1"/>
  <c r="F53" i="1"/>
  <c r="D48" i="1" l="1"/>
  <c r="E47" i="1"/>
  <c r="F47" i="1" s="1"/>
  <c r="E46" i="1"/>
  <c r="F46" i="1" s="1"/>
  <c r="E45" i="1"/>
  <c r="F45" i="1" s="1"/>
  <c r="E44" i="1"/>
  <c r="F44" i="1" s="1"/>
  <c r="E43" i="1"/>
  <c r="F43" i="1" s="1"/>
  <c r="E42" i="1"/>
  <c r="F42" i="1" s="1"/>
  <c r="E41" i="1"/>
  <c r="F41" i="1" s="1"/>
  <c r="E40" i="1"/>
  <c r="F40" i="1" s="1"/>
  <c r="H43" i="1" l="1"/>
  <c r="E57" i="1" s="1"/>
  <c r="F57" i="1" s="1"/>
  <c r="H44" i="1"/>
  <c r="E58" i="1" s="1"/>
  <c r="F58" i="1" s="1"/>
  <c r="H40" i="1"/>
  <c r="H41" i="1"/>
  <c r="E55" i="1" s="1"/>
  <c r="F55" i="1" s="1"/>
  <c r="H42" i="1"/>
  <c r="E56" i="1" s="1"/>
  <c r="F56" i="1" s="1"/>
  <c r="H45" i="1"/>
  <c r="E59" i="1" s="1"/>
  <c r="F59" i="1" s="1"/>
  <c r="H46" i="1"/>
  <c r="E60" i="1" s="1"/>
  <c r="F60" i="1" s="1"/>
  <c r="H47" i="1"/>
  <c r="E61" i="1" s="1"/>
  <c r="F61" i="1" s="1"/>
  <c r="E48" i="1"/>
  <c r="F48" i="1"/>
  <c r="E54" i="1" l="1"/>
  <c r="F54" i="1" s="1"/>
  <c r="H48" i="1"/>
  <c r="E62" i="1" l="1"/>
  <c r="C17" i="1" s="1"/>
  <c r="C20" i="1" s="1"/>
  <c r="F62" i="1"/>
  <c r="D17" i="1" s="1"/>
  <c r="D20" i="1" s="1"/>
  <c r="E9" i="16" s="1"/>
  <c r="E20" i="1" l="1"/>
  <c r="D9" i="16"/>
  <c r="C74" i="19"/>
  <c r="D60" i="19"/>
  <c r="E60" i="19" s="1"/>
  <c r="D66" i="19" s="1"/>
  <c r="B60" i="19"/>
  <c r="C73" i="19"/>
  <c r="E59" i="19"/>
  <c r="D65" i="19" s="1"/>
  <c r="C59" i="19"/>
  <c r="B65" i="19" s="1"/>
  <c r="C65" i="19" s="1"/>
  <c r="C72" i="19"/>
  <c r="G65" i="19" l="1"/>
  <c r="E64" i="19"/>
  <c r="J64" i="19" s="1"/>
  <c r="F65" i="19"/>
  <c r="E65" i="19"/>
  <c r="J65" i="19" s="1"/>
  <c r="F66" i="19"/>
  <c r="E66" i="19"/>
  <c r="C60" i="19"/>
  <c r="B66" i="19" s="1"/>
  <c r="C66" i="19" s="1"/>
  <c r="H65" i="19" l="1"/>
  <c r="I65" i="19" s="1"/>
  <c r="D73" i="19" s="1"/>
  <c r="E73" i="19" s="1"/>
  <c r="F73" i="19" s="1"/>
  <c r="G73" i="19" s="1"/>
  <c r="H73" i="19" s="1"/>
  <c r="I64" i="19"/>
  <c r="J66" i="19"/>
  <c r="G66" i="19"/>
  <c r="H66" i="19" s="1"/>
  <c r="I66" i="19" s="1"/>
  <c r="D74" i="19" s="1"/>
  <c r="E74" i="19" s="1"/>
  <c r="F74" i="19" s="1"/>
  <c r="G74" i="19" s="1"/>
  <c r="H74" i="19" s="1"/>
  <c r="D72" i="19" l="1"/>
  <c r="E72" i="19" s="1"/>
  <c r="F72" i="19" s="1"/>
  <c r="G72" i="19" s="1"/>
  <c r="H72" i="19" s="1"/>
  <c r="H75" i="19" s="1"/>
  <c r="A90" i="19" s="1"/>
  <c r="A93" i="19" s="1"/>
  <c r="A94" i="19" s="1"/>
  <c r="C100" i="19" l="1"/>
  <c r="C101" i="19"/>
  <c r="C98" i="19"/>
  <c r="C99" i="19"/>
  <c r="G75" i="19"/>
  <c r="D102" i="19" l="1"/>
  <c r="E102" i="19"/>
  <c r="D17" i="19" s="1"/>
  <c r="E12" i="16" s="1"/>
  <c r="E16" i="16" s="1"/>
  <c r="C17" i="19"/>
  <c r="D12" i="16" l="1"/>
  <c r="F12" i="16" s="1"/>
  <c r="E17" i="19"/>
  <c r="D16" i="16"/>
  <c r="F16" i="16" s="1"/>
  <c r="B68" i="5" l="1"/>
  <c r="A46" i="5"/>
  <c r="A50" i="5" s="1"/>
  <c r="B69" i="5" l="1"/>
  <c r="C68" i="5"/>
  <c r="D68" i="5" s="1"/>
  <c r="F68" i="5"/>
  <c r="C69" i="5"/>
  <c r="H68" i="5" l="1"/>
  <c r="J68" i="5" s="1"/>
  <c r="E68" i="5"/>
  <c r="G68" i="5" s="1"/>
  <c r="I68" i="5" s="1"/>
  <c r="K68" i="5" s="1"/>
  <c r="E69" i="5"/>
  <c r="G69" i="5" s="1"/>
  <c r="I69" i="5" s="1"/>
  <c r="K69" i="5" s="1"/>
  <c r="D69" i="5"/>
  <c r="F69" i="5" s="1"/>
  <c r="H69" i="5" s="1"/>
  <c r="J69" i="5" s="1"/>
  <c r="C77" i="5" l="1"/>
  <c r="C73" i="5"/>
  <c r="C76" i="5"/>
  <c r="C74" i="5"/>
  <c r="C75" i="5"/>
  <c r="D18" i="5" l="1"/>
</calcChain>
</file>

<file path=xl/sharedStrings.xml><?xml version="1.0" encoding="utf-8"?>
<sst xmlns="http://schemas.openxmlformats.org/spreadsheetml/2006/main" count="808" uniqueCount="457">
  <si>
    <t>Montana Climate Pollution Reduction Grant</t>
  </si>
  <si>
    <t>Measure:</t>
  </si>
  <si>
    <t>Methodology</t>
  </si>
  <si>
    <t>Total</t>
  </si>
  <si>
    <t>CO2e</t>
  </si>
  <si>
    <t>CO2</t>
  </si>
  <si>
    <t>CH4</t>
  </si>
  <si>
    <t>Utility Scale Solar PV</t>
  </si>
  <si>
    <t>References</t>
  </si>
  <si>
    <t>Emissions Calculations</t>
  </si>
  <si>
    <t>VolSyn</t>
  </si>
  <si>
    <t>N2O:N2 (44/28)</t>
  </si>
  <si>
    <t>N2O GWP</t>
  </si>
  <si>
    <t>C:CO2 (12/44)</t>
  </si>
  <si>
    <t>Emission Factor (kg N2O N/kg N)</t>
  </si>
  <si>
    <t>EF.Dir</t>
  </si>
  <si>
    <t>C_CO2</t>
  </si>
  <si>
    <t>N20GWP</t>
  </si>
  <si>
    <t>N20_N2</t>
  </si>
  <si>
    <t>Volatilization of Synthetic Fertilizers</t>
  </si>
  <si>
    <t>Volatilization of Organic Fertilizers</t>
  </si>
  <si>
    <t>VolOrg</t>
  </si>
  <si>
    <t>NOrg</t>
  </si>
  <si>
    <t>Nitrogen Content of Non-Manure Organics</t>
  </si>
  <si>
    <t>Indirect N2O Emissions (metric tons)</t>
  </si>
  <si>
    <t>Direct Emissions (MMTCE)</t>
  </si>
  <si>
    <t>Indirect Emissions (MMTCE)</t>
  </si>
  <si>
    <t>Direct Emissions  (MMTCO2E)</t>
  </si>
  <si>
    <t>Indirect Emissions  (MMTCO2E)</t>
  </si>
  <si>
    <t>kg.MT</t>
  </si>
  <si>
    <t>https://www.nass.usda.gov/Statistics_by_State/Montana/Publications/Special_Interest_Reports/MT-Wheat-Varieties-2021-08242021.pdf</t>
  </si>
  <si>
    <t>lb N/acre</t>
  </si>
  <si>
    <r>
      <rPr>
        <i/>
        <sz val="11"/>
        <color theme="1"/>
        <rFont val="Calibri"/>
        <family val="2"/>
        <scheme val="minor"/>
      </rPr>
      <t xml:space="preserve">Using spatially variable nitrogen application and crop responses to evaluate crop nitrogen use efficiency. </t>
    </r>
    <r>
      <rPr>
        <sz val="11"/>
        <color theme="1"/>
        <rFont val="Calibri"/>
        <family val="2"/>
        <scheme val="minor"/>
      </rPr>
      <t>Hegedus et al. 2023</t>
    </r>
  </si>
  <si>
    <r>
      <rPr>
        <i/>
        <sz val="11"/>
        <color theme="1"/>
        <rFont val="Calibri"/>
        <family val="2"/>
        <scheme val="minor"/>
      </rPr>
      <t xml:space="preserve">Uowards a Low-Cost Comprehensive Process for On-Farm Precision Experimentation and Analysis. </t>
    </r>
    <r>
      <rPr>
        <sz val="11"/>
        <color theme="1"/>
        <rFont val="Calibri"/>
        <family val="2"/>
        <scheme val="minor"/>
      </rPr>
      <t>Hegedus et al. 2023</t>
    </r>
  </si>
  <si>
    <t>Montana wheat farmers typically apply one uniform N fertilizer application, typically around 75 lbs N ac−1 in spring (March–April).
[Hegedus et al. 2023]</t>
  </si>
  <si>
    <t>Annual winter wheat fertilizer application</t>
  </si>
  <si>
    <t>lb N</t>
  </si>
  <si>
    <t>minimum case</t>
  </si>
  <si>
    <t>maximum case</t>
  </si>
  <si>
    <t>average case</t>
  </si>
  <si>
    <t>Utilizing SIT Ag Module Methodology, Ag Soils-Plan-Fertilizer Sheet</t>
  </si>
  <si>
    <t>Assuming all reduction is in synthetic fertilizer usage</t>
  </si>
  <si>
    <t>Unvolatized N (kg)</t>
  </si>
  <si>
    <t>Volatized N (kg)</t>
  </si>
  <si>
    <t>Use Case</t>
  </si>
  <si>
    <t>Per acre, baseline</t>
  </si>
  <si>
    <t>Total Fertilizer Used (lb N)</t>
  </si>
  <si>
    <t>Total Fertilizer Used (kg N)</t>
  </si>
  <si>
    <t>Conversions/Constants</t>
  </si>
  <si>
    <t>lb/kg</t>
  </si>
  <si>
    <t>SIT ID</t>
  </si>
  <si>
    <t>kg to MT</t>
  </si>
  <si>
    <t>Direct N2O Emissions
(metric tons)</t>
  </si>
  <si>
    <t>Annual Reduction Potential (MMTCO2E/year)</t>
  </si>
  <si>
    <t>2025-2030 Reduction Potential (MMTCO2E)</t>
  </si>
  <si>
    <t>USDA Montana 2021 Wheat Varieties</t>
  </si>
  <si>
    <t>Priority Measure</t>
  </si>
  <si>
    <t>Cumulative GHG Emission Reductions</t>
  </si>
  <si>
    <t>By 2030</t>
  </si>
  <si>
    <t>By 2050</t>
  </si>
  <si>
    <t>2025-2050 Reduction Potential (MMTCO2E)</t>
  </si>
  <si>
    <t>Year</t>
  </si>
  <si>
    <t>Measure</t>
  </si>
  <si>
    <t>Forest Management and Wildfire Mitigation</t>
  </si>
  <si>
    <t>Expand Healthy Urban and Community Forests</t>
  </si>
  <si>
    <t>Mitigate and Extinguish Coal Seam Fires</t>
  </si>
  <si>
    <t>Non-point source reductions</t>
  </si>
  <si>
    <t>Fertilizer Use Innovation for Improved Soil Health</t>
  </si>
  <si>
    <t>Ranchland Stewardship Program</t>
  </si>
  <si>
    <t>Incentivize Innovation in the Cattle and Beef Industry</t>
  </si>
  <si>
    <t>Conversion Factors</t>
  </si>
  <si>
    <t>pounds to mg</t>
  </si>
  <si>
    <t>pounds to ug</t>
  </si>
  <si>
    <t>Project</t>
  </si>
  <si>
    <t>log TP</t>
  </si>
  <si>
    <t>log TN</t>
  </si>
  <si>
    <t>Log Chla</t>
  </si>
  <si>
    <t>Chla (ug/L)</t>
  </si>
  <si>
    <t>N:P ratio</t>
  </si>
  <si>
    <t>acres</t>
  </si>
  <si>
    <t xml:space="preserve">Big Otter Creek and Coffee Creek Nonpoint Source Projects </t>
  </si>
  <si>
    <t>Nevada Creek Ranching for Rivers</t>
  </si>
  <si>
    <t>Nevada Creek Phase V</t>
  </si>
  <si>
    <t>Smith, Val H. "The nitrogen and phosphorus dependence of algal biomass in lakes: An empirical and theoretical analysis 1." Limnology and oceanography 27.6 (1982): 1101-1111. Fig 2</t>
  </si>
  <si>
    <t>Expand Forest Management and Wildfire Mitigation</t>
  </si>
  <si>
    <t xml:space="preserve">Mitigate and Extinguish Coal Seam Fires </t>
  </si>
  <si>
    <t xml:space="preserve">Ranchland Stewardship Program </t>
  </si>
  <si>
    <t xml:space="preserve">Incentivize Innovation in the Cattle &amp; Beef Industry </t>
  </si>
  <si>
    <t>Reduce Nonpoint Sources of Pollution and Associated Algal Blooms</t>
  </si>
  <si>
    <t>Part 1: Reforestation</t>
  </si>
  <si>
    <t>Part 2: Forest Treatment and Wildfire Management</t>
  </si>
  <si>
    <t>Emissions quantified using the USDA Forest Vegetation Simulator (FVS) Tool</t>
  </si>
  <si>
    <t>https://www.fs.usda.gov/fvs/</t>
  </si>
  <si>
    <t>Planting Type</t>
  </si>
  <si>
    <t>Percent of Program Delivery</t>
  </si>
  <si>
    <t>Percent of Plantings Across Program (% of Trees)</t>
  </si>
  <si>
    <t>Number of Trees</t>
  </si>
  <si>
    <t>Acres</t>
  </si>
  <si>
    <t>Ponderosa Pine</t>
  </si>
  <si>
    <t>Mixed Conifer (DF/WL/PP)</t>
  </si>
  <si>
    <t>Riparian (Cottonwood)</t>
  </si>
  <si>
    <t>Mixed Conifer (DF/LP)</t>
  </si>
  <si>
    <t>Totals</t>
  </si>
  <si>
    <t>Location of Montana</t>
  </si>
  <si>
    <t>Northwest</t>
  </si>
  <si>
    <t>Southwest</t>
  </si>
  <si>
    <t>Central, East, Northeast</t>
  </si>
  <si>
    <t>Percent of Planting Types by Location (by trees available in program -- not area based)</t>
  </si>
  <si>
    <t>Trees per Acre</t>
  </si>
  <si>
    <t>Planting Assumptions and FVS Tool Inputs</t>
  </si>
  <si>
    <t>Three different planting simulations were modeled in FVS to assess impacts in different regions of the state. This creates broad conditions and assumptions for site quality and productivity for the three regions to cover the potential variation in program implementation.</t>
  </si>
  <si>
    <t>Emission Rates and Calculations</t>
  </si>
  <si>
    <t>Emission Factors (FVS Tool)</t>
  </si>
  <si>
    <r>
      <t>Reduction 2025-2030
(mtonnes CO</t>
    </r>
    <r>
      <rPr>
        <vertAlign val="subscript"/>
        <sz val="11"/>
        <color theme="1"/>
        <rFont val="Calibri"/>
        <family val="2"/>
        <scheme val="minor"/>
      </rPr>
      <t>2</t>
    </r>
    <r>
      <rPr>
        <sz val="11"/>
        <color theme="1"/>
        <rFont val="Calibri"/>
        <family val="2"/>
        <scheme val="minor"/>
      </rPr>
      <t>e/acre)</t>
    </r>
  </si>
  <si>
    <r>
      <t>Reduction 2030-2050
(mtonnes CO</t>
    </r>
    <r>
      <rPr>
        <vertAlign val="subscript"/>
        <sz val="11"/>
        <color theme="1"/>
        <rFont val="Calibri"/>
        <family val="2"/>
        <scheme val="minor"/>
      </rPr>
      <t>2</t>
    </r>
    <r>
      <rPr>
        <sz val="11"/>
        <color theme="1"/>
        <rFont val="Calibri"/>
        <family val="2"/>
        <scheme val="minor"/>
      </rPr>
      <t>e/acre)</t>
    </r>
  </si>
  <si>
    <t>Emissions Totals</t>
  </si>
  <si>
    <r>
      <t xml:space="preserve"> C 2025-2030
(mtonnes CO</t>
    </r>
    <r>
      <rPr>
        <vertAlign val="subscript"/>
        <sz val="11"/>
        <color theme="1"/>
        <rFont val="Calibri"/>
        <family val="2"/>
        <scheme val="minor"/>
      </rPr>
      <t>2</t>
    </r>
    <r>
      <rPr>
        <sz val="11"/>
        <color theme="1"/>
        <rFont val="Calibri"/>
        <family val="2"/>
        <scheme val="minor"/>
      </rPr>
      <t>e)</t>
    </r>
  </si>
  <si>
    <r>
      <t xml:space="preserve"> C 2025-2050
(mtonnes CO</t>
    </r>
    <r>
      <rPr>
        <vertAlign val="subscript"/>
        <sz val="11"/>
        <color theme="1"/>
        <rFont val="Calibri"/>
        <family val="2"/>
        <scheme val="minor"/>
      </rPr>
      <t>2</t>
    </r>
    <r>
      <rPr>
        <sz val="11"/>
        <color theme="1"/>
        <rFont val="Calibri"/>
        <family val="2"/>
        <scheme val="minor"/>
      </rPr>
      <t>e)</t>
    </r>
  </si>
  <si>
    <t>Stand Type 1:</t>
  </si>
  <si>
    <t>Stand Type 2:</t>
  </si>
  <si>
    <t>Below are filters applied to dataset to identify archetype stands</t>
  </si>
  <si>
    <t>Stand Type 2</t>
  </si>
  <si>
    <t>TPA &gt;5.1"</t>
  </si>
  <si>
    <t>500-2800</t>
  </si>
  <si>
    <t>&lt;600</t>
  </si>
  <si>
    <t>BA 5-10</t>
  </si>
  <si>
    <t>&gt;80</t>
  </si>
  <si>
    <t>&lt;20</t>
  </si>
  <si>
    <t>BA10-15</t>
  </si>
  <si>
    <t>&lt;40</t>
  </si>
  <si>
    <t>BA15+</t>
  </si>
  <si>
    <t>&gt;40</t>
  </si>
  <si>
    <t>StandBA</t>
  </si>
  <si>
    <t>&gt;100</t>
  </si>
  <si>
    <t>Simulations approximated younger high density stands, majority of merchantable basal area is &lt;=10", thinned to 80 ft2/ac</t>
  </si>
  <si>
    <t>Simulations approximated older high density stands, majority of merchantable basal area &gt;=10", thinned to 80ft2/ac</t>
  </si>
  <si>
    <t>Sub-bituminous</t>
  </si>
  <si>
    <t>Inputs</t>
  </si>
  <si>
    <t>seedlings annually</t>
  </si>
  <si>
    <t>2025-2030</t>
  </si>
  <si>
    <t>2030-2050</t>
  </si>
  <si>
    <t>ALL (2025-50)</t>
  </si>
  <si>
    <t>Stand Type 1</t>
  </si>
  <si>
    <t>Model simulations are processed for untreated and treated scenarios. Emissions reduction potential equals the difference of the results.</t>
  </si>
  <si>
    <t>CO2 (mtonnes/ac)</t>
  </si>
  <si>
    <t>acres treated per year</t>
  </si>
  <si>
    <t>Emission Factors</t>
  </si>
  <si>
    <t>Emissions factors quantified using the USDA Forest Vegetation Simulator (FVS) Tool</t>
  </si>
  <si>
    <t>TOTAL</t>
  </si>
  <si>
    <t>CO2 (mtonnes)</t>
  </si>
  <si>
    <t>acres treated total (2025-2030)</t>
  </si>
  <si>
    <t>seedlings total over 5-years (2025-2030)</t>
  </si>
  <si>
    <t>--</t>
  </si>
  <si>
    <t>Part 3: Waste Biomass Chipped and Burned for Industrial Use</t>
  </si>
  <si>
    <t>tons of slash combusted over 5-year period</t>
  </si>
  <si>
    <t>"Avoided emissions": the emissions from natural gas that are avoided by substituting with heat energy from biomass.</t>
  </si>
  <si>
    <t>Avoided Emissions Calculations</t>
  </si>
  <si>
    <t>Natural Gas Emissions</t>
  </si>
  <si>
    <t>Emissions (kg/km3)</t>
  </si>
  <si>
    <t>Ratio to CO2</t>
  </si>
  <si>
    <t>PM10</t>
  </si>
  <si>
    <t>Pollutant</t>
  </si>
  <si>
    <t>a) Source Data from table 2: Forest Treatment Residues for thermal energy compared with disposal by onsite burning: Emissions and Energy Return Jones et al, 2010 --[Biomass and Bioenergy 34 (2010) 737-746]</t>
  </si>
  <si>
    <t>Fire Hazard Reduction</t>
  </si>
  <si>
    <t>Biomass Heating Value</t>
  </si>
  <si>
    <t>Reference: Unnasch. S. and L. Buchan (2021). Life Cycle Analysis of Renewable Fuel Standard Implementation for Thermal Pathways for Wood Pellets and Chips, Life Cycle Associates Report LCA.6161. 209.2021, Prepared for Technology Transition Corporation. see table 16 page 36</t>
  </si>
  <si>
    <t>Material:</t>
  </si>
  <si>
    <t>Lower Heating Value for Chips:</t>
  </si>
  <si>
    <t>MMBtu/ton @ 25% moisture content</t>
  </si>
  <si>
    <t>Natural Gas Emission Coefficient</t>
  </si>
  <si>
    <t>N.G.</t>
  </si>
  <si>
    <t>Avoided Emissions Coefficient</t>
  </si>
  <si>
    <t>Avoided CO2</t>
  </si>
  <si>
    <t>kg CO2 avoided from N.G. displacement per ton fire hazard reduction chips</t>
  </si>
  <si>
    <t>Avoided Emissions (Biomass Displacement of Natural Gas Combustion)</t>
  </si>
  <si>
    <t>kg per ton biomass</t>
  </si>
  <si>
    <t>kg per total biomass</t>
  </si>
  <si>
    <t>Unit</t>
  </si>
  <si>
    <t>tonne per total biomass</t>
  </si>
  <si>
    <t>short ton per total biomass</t>
  </si>
  <si>
    <t>USDA Forest Vegetation Simulator (FVS) Tool</t>
  </si>
  <si>
    <t>Unnasch. S. and L. Buchan (2021). Life Cycle Analysis of Renewable Fuel Standard Implementation for Thermal Pathways for Wood Pellets and Chips, Life Cycle Associates Report</t>
  </si>
  <si>
    <t>Summary of Emissions Reductions</t>
  </si>
  <si>
    <t>Cost Effectiveness</t>
  </si>
  <si>
    <r>
      <t>(MMT CO</t>
    </r>
    <r>
      <rPr>
        <b/>
        <vertAlign val="subscript"/>
        <sz val="11"/>
        <rFont val="Calibri"/>
        <family val="2"/>
      </rPr>
      <t>2</t>
    </r>
    <r>
      <rPr>
        <b/>
        <sz val="11"/>
        <rFont val="Calibri"/>
        <family val="2"/>
      </rPr>
      <t>e)</t>
    </r>
  </si>
  <si>
    <r>
      <t>$/MT CO</t>
    </r>
    <r>
      <rPr>
        <b/>
        <vertAlign val="subscript"/>
        <sz val="11"/>
        <color theme="1"/>
        <rFont val="Calibri"/>
        <family val="2"/>
        <scheme val="minor"/>
      </rPr>
      <t>2</t>
    </r>
    <r>
      <rPr>
        <b/>
        <sz val="11"/>
        <color theme="1"/>
        <rFont val="Calibri"/>
        <family val="2"/>
        <scheme val="minor"/>
      </rPr>
      <t>e</t>
    </r>
  </si>
  <si>
    <t>2025 - 2030</t>
  </si>
  <si>
    <r>
      <t>PM</t>
    </r>
    <r>
      <rPr>
        <b/>
        <vertAlign val="subscript"/>
        <sz val="11"/>
        <rFont val="Calibri"/>
        <family val="2"/>
      </rPr>
      <t>10</t>
    </r>
  </si>
  <si>
    <t>tons</t>
  </si>
  <si>
    <t>Reforestation</t>
  </si>
  <si>
    <t>Forest Treatment</t>
  </si>
  <si>
    <t>Biomass Displacement of Natural Gas</t>
  </si>
  <si>
    <t>Co-Pollutant</t>
  </si>
  <si>
    <t>Proposed Funding</t>
  </si>
  <si>
    <t>TreeKeeper tree inventory tool for baseline community data</t>
  </si>
  <si>
    <t>iTree Eco for calculating emissions reduction potential</t>
  </si>
  <si>
    <t>Storm Water Rainfall Intercepted (Millions/Gal)</t>
  </si>
  <si>
    <t>Add 20,000 trees per year over 5-years (2025-2030)</t>
  </si>
  <si>
    <t>Existing community tree inventories are tracked in TreeKeeper. These account for only 25% of community urban forest coverage. iTree quantifies reduction potential based on a portion of the total forest coverage, so results were scaled to apply program coverage to 100% of community forest.</t>
  </si>
  <si>
    <t>Total program implementation is the equivalent of canopy increasing by 1 - 3%.</t>
  </si>
  <si>
    <t>Implementation:</t>
  </si>
  <si>
    <t>Program implementation can be tailored to community needs: Number of trees requested or to meet a carbon reduction goal</t>
  </si>
  <si>
    <t>CO2e Sequestered
(million pounds)</t>
  </si>
  <si>
    <t>CO2e Eq Avoided
(million pounds)</t>
  </si>
  <si>
    <t>Storm Water Runoff Avoided
(million pounds/Gal)</t>
  </si>
  <si>
    <t>iTree Outputs</t>
  </si>
  <si>
    <t>Project Outcomes</t>
  </si>
  <si>
    <t>metric ton per million pounds</t>
  </si>
  <si>
    <t>Conversion</t>
  </si>
  <si>
    <t>CO2e Total
(million pounds)</t>
  </si>
  <si>
    <t>CO2e Total
(metric tons)</t>
  </si>
  <si>
    <t>CO2e Total
(MMT)</t>
  </si>
  <si>
    <t>Scaling Impact Potential to account for full 100% Forest Coverage in iTree</t>
  </si>
  <si>
    <t>a) The numbers in this table reflect only a percentage of publicly-owned trees in 69 communities throughout Montana based on existing inventoried data in TreeKeeper. Emission reduction potential was calculated in iTree using the current number of trees measured throughout 25 years. These numbers only represent a 20-30% sample of any particular community tree population. Canopy analysis numbers though the i-Tree Eco Tool is much higher. To extrapolate a total, assume these calculations are 25% of total tree population. A full range of projected benefits to represent the full population was estimated in the below table to help realize full benefits.</t>
  </si>
  <si>
    <t>CO2e Total at 25%
(MMT)</t>
  </si>
  <si>
    <t>CO2e Total at %100
(MMT)</t>
  </si>
  <si>
    <t xml:space="preserve">Using Eco benefits model estimates: </t>
  </si>
  <si>
    <t xml:space="preserve">5-year projection increase 20K trees, canopy cover increase of 1% per community: 56M lbs CO2. </t>
  </si>
  <si>
    <t>25-year projection increase by 100,000 trees, canopy cover increase of 3% per community: 397.78M lbs CO2 seq plus avoided.</t>
  </si>
  <si>
    <t>Cereal Crops Identified: Spring Wheat, Winter Wheat, Barely, Durum</t>
  </si>
  <si>
    <t>Approximate land area used for producing cereal crops in Montana</t>
  </si>
  <si>
    <t>acres, goal impact area</t>
  </si>
  <si>
    <t>acres per year, goal impact area</t>
  </si>
  <si>
    <t>Total estimated fertilizer application, 5-year target area</t>
  </si>
  <si>
    <t>OFPE framework full-field N reduction potential, Hedges et al 2023</t>
  </si>
  <si>
    <t>Per acre with VRF (35% reduction)</t>
  </si>
  <si>
    <t>Adjusted fertilizer utilization, average-case reduction using VRF, 5-year target area</t>
  </si>
  <si>
    <t>Annual target area, Acres of cereal crop impacted by program</t>
  </si>
  <si>
    <t>Program Year</t>
  </si>
  <si>
    <t>Total of Impacted Area (Acres)</t>
  </si>
  <si>
    <t>a) Assumes agricultural producer continues VRF application methods on same amount of acres through 2030 and 2050</t>
  </si>
  <si>
    <t>g/m2/day</t>
  </si>
  <si>
    <t>m2</t>
  </si>
  <si>
    <t>to</t>
  </si>
  <si>
    <t>Gases emitted from coal fires are transported to the surface primarily via two mechanisms: (a) diffusion/convection through overburden (soil-diffuse emissions), and (b) advection through vents and fractures (vent emissions).</t>
  </si>
  <si>
    <t>tons CO2 per day</t>
  </si>
  <si>
    <t>g/ton</t>
  </si>
  <si>
    <t>ton/m2/day</t>
  </si>
  <si>
    <t>m2/acre</t>
  </si>
  <si>
    <t>Measure No.</t>
  </si>
  <si>
    <t>ft3/sec to ft3/year</t>
  </si>
  <si>
    <t>ft3/year to l/year</t>
  </si>
  <si>
    <t>ft3/sec to l/day</t>
  </si>
  <si>
    <t>ug/m3 to ppb (CO2)</t>
  </si>
  <si>
    <t>MW (CO2)</t>
  </si>
  <si>
    <t>Nitrogen Load (lb/yr)</t>
  </si>
  <si>
    <t>Nitrogen Load (lb/day)</t>
  </si>
  <si>
    <t>Phosphorus Load
(lb/yr)</t>
  </si>
  <si>
    <t>Phosphorus Load
(lb/day)</t>
  </si>
  <si>
    <t>14Q5 Flow
(ft3/sec)</t>
  </si>
  <si>
    <t>N Conc.
(mg/L)</t>
  </si>
  <si>
    <t>N Conc.
(ug/L)</t>
  </si>
  <si>
    <t>P Conc.
(mg/L)</t>
  </si>
  <si>
    <t>P Conc.
(ug/L)</t>
  </si>
  <si>
    <t>a) Smith, Val H. "The nitrogen and phosphorus dependence of algal biomass in lakes: An empirical and theoretical analysis 1." Limnology and oceanography 27.6 (1982): 1101-1111. Fig 2</t>
  </si>
  <si>
    <r>
      <t>Smith (1982) Growing season (May-Sept) values, TP+TN model</t>
    </r>
    <r>
      <rPr>
        <vertAlign val="superscript"/>
        <sz val="11"/>
        <color theme="1"/>
        <rFont val="Calibri"/>
        <family val="2"/>
        <scheme val="minor"/>
      </rPr>
      <t>a</t>
    </r>
  </si>
  <si>
    <r>
      <t>Surface Area</t>
    </r>
    <r>
      <rPr>
        <vertAlign val="superscript"/>
        <sz val="11"/>
        <color theme="1"/>
        <rFont val="Calibri"/>
        <family val="2"/>
        <scheme val="minor"/>
      </rPr>
      <t xml:space="preserve">a
</t>
    </r>
    <r>
      <rPr>
        <sz val="11"/>
        <color theme="1"/>
        <rFont val="Calibri"/>
        <family val="2"/>
        <scheme val="minor"/>
      </rPr>
      <t>(acres)</t>
    </r>
  </si>
  <si>
    <t>Surface Area Nearest Downstream Lake (m2)</t>
  </si>
  <si>
    <t>N-P Concentration Assessment</t>
  </si>
  <si>
    <t>a) Methane emissions calculation can only apply to projects a reasonable distance above an impoundment</t>
  </si>
  <si>
    <t>b) Beaulieu, Jake J., Tonya DelSontro, and John A. Downing. "Eutrophication will increase methane emissions from lakes and impoundments during the 21st century." Nature communications 10.1 (2019): 1375. Table 3</t>
  </si>
  <si>
    <t>CH4 Emission Rate (mg/m2/day)</t>
  </si>
  <si>
    <t>CH4 Emission Rate (mg/m2/year)</t>
  </si>
  <si>
    <t>Emission Rate Calculation</t>
  </si>
  <si>
    <r>
      <t>log(Total CH4 Emission Rate)</t>
    </r>
    <r>
      <rPr>
        <vertAlign val="superscript"/>
        <sz val="11"/>
        <color theme="1"/>
        <rFont val="Calibri"/>
        <family val="2"/>
        <scheme val="minor"/>
      </rPr>
      <t>b</t>
    </r>
  </si>
  <si>
    <t>AVERAGE</t>
  </si>
  <si>
    <t>Average Reduction Per Project</t>
  </si>
  <si>
    <t>Total Emissions</t>
  </si>
  <si>
    <t>DEQ Project Monitoring Data</t>
  </si>
  <si>
    <t>Beaulieu, Jake J., Tonya DelSontro, and John A. Downing. "Eutrophication will increase methane emissions from lakes and impoundments during the 21st century." Nature communications 10.1 (2019): 1375. Table 3</t>
  </si>
  <si>
    <t>or less soil carbon</t>
  </si>
  <si>
    <t>tons CO2 per year</t>
  </si>
  <si>
    <t>Program Setup and Outreach</t>
  </si>
  <si>
    <t>acres, program target impact goal</t>
  </si>
  <si>
    <t>acres, annual goal for program Years 2 - 5</t>
  </si>
  <si>
    <t>emphasis program application to rangeland in fair to poor condition</t>
  </si>
  <si>
    <t>Fair to Poor Soil Condition</t>
  </si>
  <si>
    <t>Historical Conditions</t>
  </si>
  <si>
    <t>C in soil</t>
  </si>
  <si>
    <t>Reduction Potential</t>
  </si>
  <si>
    <t>SNAPGRAZE modeling framework</t>
  </si>
  <si>
    <r>
      <rPr>
        <i/>
        <sz val="11"/>
        <color theme="1"/>
        <rFont val="Calibri"/>
        <family val="2"/>
        <scheme val="minor"/>
      </rPr>
      <t xml:space="preserve">Grazing Management, Forage Production and Soil Carbon Dynamics. </t>
    </r>
    <r>
      <rPr>
        <sz val="11"/>
        <color theme="1"/>
        <rFont val="Calibri"/>
        <family val="2"/>
        <scheme val="minor"/>
      </rPr>
      <t>Ritchie. 2020</t>
    </r>
  </si>
  <si>
    <t>Annual Soil Sequestration Rate for Implemented Area</t>
  </si>
  <si>
    <t>metric tons CO2 per acre (Ritchie 2020)</t>
  </si>
  <si>
    <t>Ritchie 2020 is based on soil and vegetation sampling from (9) ranches within Cascade, Park, and Sweetgrass counties of Montana. Sample sites are reference test points of the SNAPGRAZE model of grazing and soil carbon dynamics.</t>
  </si>
  <si>
    <t>DSOCy</t>
  </si>
  <si>
    <t>Change in soil carbon density per year</t>
  </si>
  <si>
    <t>b) Current carbon sequestration contracts in area account for 40-years of sequestration indicating that 2025-2050 is within program bounds.</t>
  </si>
  <si>
    <t>Requested CPRG Funding</t>
  </si>
  <si>
    <r>
      <t>(MMT CO</t>
    </r>
    <r>
      <rPr>
        <vertAlign val="subscript"/>
        <sz val="11"/>
        <rFont val="Calibri"/>
        <family val="2"/>
      </rPr>
      <t>2</t>
    </r>
    <r>
      <rPr>
        <sz val="11"/>
        <rFont val="Calibri"/>
        <family val="2"/>
      </rPr>
      <t>e)</t>
    </r>
  </si>
  <si>
    <r>
      <t>$/MT CO</t>
    </r>
    <r>
      <rPr>
        <vertAlign val="subscript"/>
        <sz val="11"/>
        <color theme="1"/>
        <rFont val="Calibri"/>
        <family val="2"/>
        <scheme val="minor"/>
      </rPr>
      <t>2</t>
    </r>
    <r>
      <rPr>
        <sz val="11"/>
        <color theme="1"/>
        <rFont val="Calibri"/>
        <family val="2"/>
        <scheme val="minor"/>
      </rPr>
      <t>e</t>
    </r>
  </si>
  <si>
    <t>Part 1: Methane gas capture technology or feed efficiency improvements</t>
  </si>
  <si>
    <t>Part 3: Organic fertilizer production</t>
  </si>
  <si>
    <t>lb CH4</t>
  </si>
  <si>
    <t>Annual Methane Emissions from Cattle</t>
  </si>
  <si>
    <t>[EPA Agriculture and Aquaculture. 2020]</t>
  </si>
  <si>
    <t>Annual Program Reduction Goal</t>
  </si>
  <si>
    <t>Through methane capture and/or feed enhancements</t>
  </si>
  <si>
    <t>Breanna M. Roque, Joan K. Salwen, Rob Kinley, Ermias Kebreab, “Inclusion of Asparagopsis armata in lactating dairy cows’ diet reduces enteric methane emission by over 50 percent,” Journal of Cleaner Production, Volume 234, 2019, Pages 132-138</t>
  </si>
  <si>
    <t>[Roque et al. 2019]</t>
  </si>
  <si>
    <t>Total Impact (Cattle)</t>
  </si>
  <si>
    <t>Program Target</t>
  </si>
  <si>
    <t>systems</t>
  </si>
  <si>
    <t>animals under innovative feed systems</t>
  </si>
  <si>
    <t>animals per year (Years 2 - 5)</t>
  </si>
  <si>
    <t>annual lb CH4 per cow</t>
  </si>
  <si>
    <t>metric tons CH4 per cow</t>
  </si>
  <si>
    <t>GWP CH4</t>
  </si>
  <si>
    <t>reduction goal</t>
  </si>
  <si>
    <t>metric tons CH4 reduced per cow</t>
  </si>
  <si>
    <t>metric tons CO2e reduced per cow</t>
  </si>
  <si>
    <t>a) Assumes agricultural producer continues application methods on same amount of acres through 2050</t>
  </si>
  <si>
    <t>a) Assumes agricultural producer continues application methods at same amount through 2050</t>
  </si>
  <si>
    <t>Part 2: Renewable Energy Systems</t>
  </si>
  <si>
    <t>Renewable energy systems could include solar PV, anaerobic digesters, or geothermal heat pumps depending upon site conditions and the best use case. Emissions reduction through Solar PV is used to represent emissions reduction potential for Part 2.</t>
  </si>
  <si>
    <t>kW per system</t>
  </si>
  <si>
    <t>MW per system</t>
  </si>
  <si>
    <t>MW, total</t>
  </si>
  <si>
    <t>System Type</t>
  </si>
  <si>
    <t>Estimated Generation (MWh/yr)</t>
  </si>
  <si>
    <t>Annual CO2 Reduction
(MT/year)</t>
  </si>
  <si>
    <t>Total Capacity
(MW)</t>
  </si>
  <si>
    <t>Total Capacity per System (MW)</t>
  </si>
  <si>
    <t>a) Assumes 0.2 MW solar PV added each year of the program. Service life is 25+ years</t>
  </si>
  <si>
    <t>EPA AVERT Tool</t>
  </si>
  <si>
    <t>b) Quantified using the EPA AVERT Tool under the conditions: Annual Emissions Changes (Power Sector Only) Central, Northwest, Rocky Mountains Regions (due to changes in Montana). 0.2 MW Utility-Scale Solar PV Capacity Added</t>
  </si>
  <si>
    <t>Methane gas capture technology or feed efficiency improvements</t>
  </si>
  <si>
    <t>Renewable Energy Systems</t>
  </si>
  <si>
    <t>Organic fertilizer production</t>
  </si>
  <si>
    <t>Quantifying greenhouse gas emissions from coal fires using airborne and ground-based methods. Engel et al. 2011</t>
  </si>
  <si>
    <t>The results of this study are utilized to quantify emissions for this measure because the Powder River Basin is representative of coal seam regions in Montana, including variables that can impact combustion such as the type and quality of regional coal, climate, groundwater saturation, and terrain. This provides a representative coal seam fire and the resultant emissions for this analysis.</t>
  </si>
  <si>
    <t>Min</t>
  </si>
  <si>
    <t>Avg</t>
  </si>
  <si>
    <t>Max</t>
  </si>
  <si>
    <t>Quantified Emission Rate from Engel et al. 2011</t>
  </si>
  <si>
    <t>Based on the following coal characteristics</t>
  </si>
  <si>
    <t>Location</t>
  </si>
  <si>
    <t>Coal Type</t>
  </si>
  <si>
    <t>(Soil-Diffuse and vent emissions)</t>
  </si>
  <si>
    <t>Carbon Content</t>
  </si>
  <si>
    <t>Heating Value</t>
  </si>
  <si>
    <t>MJ/kg, average</t>
  </si>
  <si>
    <t>Project Study Area</t>
  </si>
  <si>
    <t>Calculated from soil diffusion analysis</t>
  </si>
  <si>
    <t>acre, project study area</t>
  </si>
  <si>
    <t>Average Soil-Diffusion and Vent Emissions</t>
  </si>
  <si>
    <t>tons CO2 per acre per day</t>
  </si>
  <si>
    <t>Welch Ranch coal fire, Powder River Basin, WY</t>
  </si>
  <si>
    <t>Coal seam fires can greatly vary in size. The Welch Ranch coal fire is a representative size fire of the region and emissions quantified for this fire in Engel et al. 2011 are scaled to 200 fires proposed to be extinguished through this measure.</t>
  </si>
  <si>
    <t>tons CO2 per day (average)</t>
  </si>
  <si>
    <t>days/year</t>
  </si>
  <si>
    <t>metric tons per year</t>
  </si>
  <si>
    <t>fires per year</t>
  </si>
  <si>
    <t>Fires Extinguished per Year</t>
  </si>
  <si>
    <t>Welch Ranch Coal Fire</t>
  </si>
  <si>
    <t>Program Targets</t>
  </si>
  <si>
    <t>fires total, extinguished</t>
  </si>
  <si>
    <t>2025-2030 Reduction Potential
(MMTCO2E)</t>
  </si>
  <si>
    <t>a) Assumes coal seam fires would continue to burn through 2050 if not for program intervention</t>
  </si>
  <si>
    <t>tons manure per steer/heifer [Biocycle]</t>
  </si>
  <si>
    <t>tons of manure per year</t>
  </si>
  <si>
    <t>Material</t>
  </si>
  <si>
    <t>Urea</t>
  </si>
  <si>
    <t>Ammonium Nitrate</t>
  </si>
  <si>
    <t>kg CO2e/Kg of N</t>
  </si>
  <si>
    <t>kg CO2/tonne waste</t>
  </si>
  <si>
    <t>Digestate Production</t>
  </si>
  <si>
    <t>MT CO2e per year</t>
  </si>
  <si>
    <t>tons manure/yr</t>
  </si>
  <si>
    <t>MT manure/yr</t>
  </si>
  <si>
    <t>kg CO2e/yr</t>
  </si>
  <si>
    <t>N Produced from Waste</t>
  </si>
  <si>
    <t>kg CO2e Urea Production</t>
  </si>
  <si>
    <t>kg CO2e NH4NO3 Production</t>
  </si>
  <si>
    <t>MT CO2e NH4NO3 Production</t>
  </si>
  <si>
    <t>MT CO2e Urea Production</t>
  </si>
  <si>
    <t>Digestate</t>
  </si>
  <si>
    <t>Manure to Digestate</t>
  </si>
  <si>
    <t>tons digestate/yr</t>
  </si>
  <si>
    <t>Dry matter content [Umass Amherst]</t>
  </si>
  <si>
    <t>Conversion efficiency [Methods for the Treatment of Cattle Manure—A Review. Palma. 2019]</t>
  </si>
  <si>
    <t>total N</t>
  </si>
  <si>
    <t>tons N/yr</t>
  </si>
  <si>
    <t>kg to ton</t>
  </si>
  <si>
    <t>kg K/yr</t>
  </si>
  <si>
    <t>Synthetic</t>
  </si>
  <si>
    <t>kg CO2e/Kg of N, Urea Production</t>
  </si>
  <si>
    <t>kg CO2e/Kg of N, Ammonium Nitrate (NH4NO3) Production</t>
  </si>
  <si>
    <t>Emission Factors for Synthetic N-Fertilizer Production</t>
  </si>
  <si>
    <t>Manure Production from Feedlots</t>
  </si>
  <si>
    <t>Source</t>
  </si>
  <si>
    <t>Difference</t>
  </si>
  <si>
    <t>Manure Produced (tons/year)</t>
  </si>
  <si>
    <t>Reduction Potential based on 45,000 tons manure per year</t>
  </si>
  <si>
    <t>a) Assumes cattle producer continues digestate methods for same amount of manure through 2050</t>
  </si>
  <si>
    <t>b) Service life of 15-years for digestate production</t>
  </si>
  <si>
    <t>CH4 Emissions Based on Past Project Data Collection of Representative Projects</t>
  </si>
  <si>
    <t>N2O Emissions Based on Past Project Data Collection of Representative Projects</t>
  </si>
  <si>
    <t>N2O Log(Emission Rate) (ug/m^2/h)</t>
  </si>
  <si>
    <t>a) Beaulieu, Jake J., Tonya DelSontro, and John A. Downing. "Eutrophication will increase methane emissions from lakes and impoundments during the 21st century." Nature communications 10.1 (2019): 1375. Table 3</t>
  </si>
  <si>
    <t>N Concentration Assessment</t>
  </si>
  <si>
    <t>Emission Rate (ug/m2/day)</t>
  </si>
  <si>
    <t>Emission Rate (ug/m2/year)</t>
  </si>
  <si>
    <t>MT N2O per year</t>
  </si>
  <si>
    <t>Average per project</t>
  </si>
  <si>
    <t>CH4 Emission Rate
(MT per year)</t>
  </si>
  <si>
    <t>CO2e Emissions Based on Riparian Restoration</t>
  </si>
  <si>
    <t>The "riparian restoration" practice standard on comet-planner.com was used to estimate CO2e from riparian restoration associated with projects. 1 acre restored riparian = 1 tonne CO2e. Assuming 4 restored acres per project, and six projects per year, this results in 0.000024 MMT CO2e</t>
  </si>
  <si>
    <t>acres per project, assumed</t>
  </si>
  <si>
    <t>MT CO2e per project</t>
  </si>
  <si>
    <t>Projects per Year</t>
  </si>
  <si>
    <t>MT CO2e per 1 acre restored riparian</t>
  </si>
  <si>
    <t>Metric Tons CO2e Per Year from CH4 Reduction</t>
  </si>
  <si>
    <t>Metric Tons CO2e Per Year from N2O Reduction</t>
  </si>
  <si>
    <t>Metric Tons CO2e Per Year from Riparian Restoration</t>
  </si>
  <si>
    <t>MMT CO2e per year</t>
  </si>
  <si>
    <t>Metric Tons CO2e per year</t>
  </si>
  <si>
    <t>Total Annual CO2e Reduction per Project</t>
  </si>
  <si>
    <t>ton/day</t>
  </si>
  <si>
    <t>a) 14Q5 represents the 14-day, 5-year low flow statistics</t>
  </si>
  <si>
    <t>Attachment 1: Emissions Reduction Calculations Spreadsheet</t>
  </si>
  <si>
    <t>Implementation Grant Application</t>
  </si>
  <si>
    <t>Summary of Emissions Reduction</t>
  </si>
  <si>
    <t>Total (2025 - 2030)</t>
  </si>
  <si>
    <t>GHG Emissions Reduction Potential</t>
  </si>
  <si>
    <t>Criteria Pollutant Emissions Reduction Potential</t>
  </si>
  <si>
    <t>PM2.5
(lb/yr)</t>
  </si>
  <si>
    <t>SO2
(lb/yr)</t>
  </si>
  <si>
    <t>CO
(lb/yr)</t>
  </si>
  <si>
    <t>VOC
(lb/yr)</t>
  </si>
  <si>
    <t>NOx
(lb/yr)</t>
  </si>
  <si>
    <t>Emissions: AVERT Tool. PM10 emissions are scaled so that PM2.5 represents 85% speciation. CO emissions are scaled from VOC emissions</t>
  </si>
  <si>
    <t>PM10
(ton/yr)</t>
  </si>
  <si>
    <t>The magnitude of the contribution of combustion gases from coal fires to the environment is highly uncertain, because adequate data and methods for assessing emissions are lacking. Engel et al. 2011 demonstrates the ability to estimate CO2 and CH4 emissions for the Welch Ranch coal fire in the Powder River Basin, Wyoming, using two independent methods for heat flux calculated from aerial thermal infrared imaging and direct, ground-based measurements. The two methods provide complimentary results for cross-reference.</t>
  </si>
  <si>
    <t>b) TP = Total Phosphorus; TN = Total Nitrogen; Chla = Chlorophyl Concentration</t>
  </si>
  <si>
    <t>b) Ratio to CO2 provides constants to be used in further calculations</t>
  </si>
  <si>
    <t>kg CO2/MMBtu</t>
  </si>
  <si>
    <t>Total Distribution of Seedlings and Acres Planted</t>
  </si>
  <si>
    <t>Forest thinning will aid in wildfire reduction and longer term sequestration beyond 2050. Emissions related to reduced wildfire impact are included below.</t>
  </si>
  <si>
    <t>Thinning and Treatment Assumptions for FVS Tool Inputs</t>
  </si>
  <si>
    <t>Reduced Emissions From Wildfire</t>
  </si>
  <si>
    <t>Slash material from Part 2 will be collected and used for fuel in a biomass boiler, offsetting current natural gas combustion practices.</t>
  </si>
  <si>
    <t>Emissions Reduced when quantifying application to only 25% Community Forest Level</t>
  </si>
  <si>
    <t>While developed in dryland winter-wheat systems of Montana, the variable rate fertilzer (VRF) methods outlined in the research are applicable to other crops and systems when similar procedures are used to generate information for increasing agronomic input efficiency with simultaneous consideration for profitability. Since the known efficiencies are specific to winter wheat, and comparable cereal crops, the program and associated emissions reduction potential is focused for that specific application.</t>
  </si>
  <si>
    <t>acres, total cereal crop agriculture state-wide</t>
  </si>
  <si>
    <t>Eric Walling, Celine Vaneeckhaute, "Greenhouse gas emissions from inorganic and organic fertilizer production and use: A review of emission factors and their variability"</t>
  </si>
  <si>
    <t>Reference</t>
  </si>
  <si>
    <t>Beaulieu, Jake J., Tonya DelSontro, and John A. Downing. "Eutrophication will increase methane emissions from lakes and impoundments during the 21st century." Nature communications 10.1 (2019): 1375. Table 3</t>
  </si>
  <si>
    <t>DNRC 2017. Montana DNRC’s Cost-Benefits Scenario</t>
  </si>
  <si>
    <t xml:space="preserve">Engel et al. 2011. “Quantifying greenhouse gas emissions from coal fires using airborne and ground-based methods.” </t>
  </si>
  <si>
    <t>Hegedus 2023a. Hegedus et al. Towards a Low-Cost Comprehensive Process for On-Farm Precision Experimentation and Analysis</t>
  </si>
  <si>
    <t>Hegedus 2023b. Hegedus et al. Using spatially variable nitrogen application and crop responses to 
evaluate crop nitrogen use efficiency</t>
  </si>
  <si>
    <t>McPherson 2002. Urban Forestry, the final frontier?</t>
  </si>
  <si>
    <t>Ritchie 2020 . “Grazing Management, Forage Production and Soil Carbon Dynamics by Mark E. Ritchie</t>
  </si>
  <si>
    <t xml:space="preserve">Roque et al 2019 .“Inclusion of Asparagopsis armata in lactating dairy cows’ diet reduces enteric methane emission by over 50 percent” </t>
  </si>
  <si>
    <t xml:space="preserve">Walling et al 2020. “Greenhouse gas emissions from inorganic and organic fertilizer production and use: A review of emission factors and their variability” </t>
  </si>
  <si>
    <t>References/Bibliography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</si>
</sst>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6" formatCode="&quot;$&quot;#,##0_);[Red]\(&quot;$&quot;#,##0\)"/>
    <numFmt numFmtId="44" formatCode="_(&quot;$&quot;* #,##0.00_);_(&quot;$&quot;* \(#,##0.00\);_(&quot;$&quot;* &quot;-&quot;??_);_(@_)"/>
    <numFmt numFmtId="43" formatCode="_(* #,##0.00_);_(* \(#,##0.00\);_(* &quot;-&quot;??_);_(@_)"/>
    <numFmt numFmtId="164" formatCode="0.00000"/>
    <numFmt numFmtId="165" formatCode="0.0000"/>
    <numFmt numFmtId="166" formatCode="0.0"/>
    <numFmt numFmtId="167" formatCode="_(* #,##0_);_(* \(#,##0\);_(* &quot;-&quot;??_);_(@_)"/>
    <numFmt numFmtId="168" formatCode="0.000"/>
    <numFmt numFmtId="169" formatCode="0.000000"/>
    <numFmt numFmtId="170" formatCode="_(* #,##0.00000000000000_);_(* \(#,##0.00000000000000\);_(* &quot;-&quot;??_);_(@_)"/>
    <numFmt numFmtId="171" formatCode="_(* #,##0.00000_);_(* \(#,##0.00000\);_(* &quot;-&quot;??_);_(@_)"/>
    <numFmt numFmtId="172" formatCode="_(* #,##0.00000000000_);_(* \(#,##0.00000000000\);_(* &quot;-&quot;??_);_(@_)"/>
    <numFmt numFmtId="173" formatCode="0.000000000000000000"/>
    <numFmt numFmtId="174" formatCode="#,##0.000"/>
    <numFmt numFmtId="175" formatCode="#,##0.00000"/>
    <numFmt numFmtId="176" formatCode="#,##0.0000"/>
    <numFmt numFmtId="177" formatCode="#,##0.0"/>
    <numFmt numFmtId="178" formatCode="_(&quot;$&quot;* #,##0_);_(&quot;$&quot;* \(#,##0\);_(&quot;$&quot;* &quot;-&quot;??_);_(@_)"/>
    <numFmt numFmtId="179" formatCode="_(* #,##0.0_);_(* \(#,##0.0\);_(* &quot;-&quot;??_);_(@_)"/>
    <numFmt numFmtId="180" formatCode="&quot;$&quot;#,##0"/>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u/>
      <sz val="11"/>
      <color theme="10"/>
      <name val="Calibri"/>
      <family val="2"/>
      <scheme val="minor"/>
    </font>
    <font>
      <i/>
      <sz val="11"/>
      <color theme="1"/>
      <name val="Calibri"/>
      <family val="2"/>
      <scheme val="minor"/>
    </font>
    <font>
      <b/>
      <i/>
      <sz val="11"/>
      <color theme="1"/>
      <name val="Calibri"/>
      <family val="2"/>
      <scheme val="minor"/>
    </font>
    <font>
      <u/>
      <sz val="11"/>
      <color theme="1"/>
      <name val="Calibri"/>
      <family val="2"/>
      <scheme val="minor"/>
    </font>
    <font>
      <vertAlign val="subscript"/>
      <sz val="11"/>
      <color theme="1"/>
      <name val="Calibri"/>
      <family val="2"/>
      <scheme val="minor"/>
    </font>
    <font>
      <sz val="10"/>
      <color theme="1"/>
      <name val="Calibri"/>
      <family val="2"/>
      <scheme val="minor"/>
    </font>
    <font>
      <i/>
      <u/>
      <sz val="11"/>
      <color theme="1"/>
      <name val="Calibri"/>
      <family val="2"/>
      <scheme val="minor"/>
    </font>
    <font>
      <sz val="8"/>
      <name val="Calibri"/>
      <family val="2"/>
      <scheme val="minor"/>
    </font>
    <font>
      <sz val="11"/>
      <name val="Calibri"/>
      <family val="2"/>
      <scheme val="minor"/>
    </font>
    <font>
      <b/>
      <u/>
      <sz val="11"/>
      <color theme="1"/>
      <name val="Calibri"/>
      <family val="2"/>
      <scheme val="minor"/>
    </font>
    <font>
      <sz val="10"/>
      <color rgb="FF222222"/>
      <name val="Arial"/>
      <family val="2"/>
    </font>
    <font>
      <b/>
      <u/>
      <sz val="12"/>
      <color theme="1"/>
      <name val="Calibri"/>
      <family val="2"/>
      <scheme val="minor"/>
    </font>
    <font>
      <b/>
      <sz val="11"/>
      <name val="Calibri"/>
      <family val="2"/>
    </font>
    <font>
      <b/>
      <vertAlign val="subscript"/>
      <sz val="11"/>
      <name val="Calibri"/>
      <family val="2"/>
    </font>
    <font>
      <b/>
      <vertAlign val="subscript"/>
      <sz val="11"/>
      <color theme="1"/>
      <name val="Calibri"/>
      <family val="2"/>
      <scheme val="minor"/>
    </font>
    <font>
      <sz val="11"/>
      <name val="Calibri"/>
      <family val="2"/>
    </font>
    <font>
      <b/>
      <sz val="10"/>
      <color theme="1"/>
      <name val="Calibri"/>
      <family val="2"/>
      <scheme val="minor"/>
    </font>
    <font>
      <vertAlign val="superscript"/>
      <sz val="11"/>
      <color theme="1"/>
      <name val="Calibri"/>
      <family val="2"/>
      <scheme val="minor"/>
    </font>
    <font>
      <vertAlign val="subscript"/>
      <sz val="11"/>
      <name val="Calibri"/>
      <family val="2"/>
    </font>
    <font>
      <b/>
      <sz val="11"/>
      <color theme="1"/>
      <name val="Calibri"/>
      <family val="2"/>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double">
        <color indexed="64"/>
      </right>
      <top style="double">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thin">
        <color indexed="64"/>
      </right>
      <top/>
      <bottom style="double">
        <color indexed="64"/>
      </bottom>
      <diagonal/>
    </border>
    <border>
      <left/>
      <right/>
      <top style="double">
        <color indexed="64"/>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44" fontId="1" fillId="0" borderId="0" applyFont="0" applyFill="0" applyBorder="0" applyAlignment="0" applyProtection="0"/>
  </cellStyleXfs>
  <cellXfs count="317">
    <xf numFmtId="0" fontId="0" fillId="0" borderId="0" xfId="0"/>
    <xf numFmtId="0" fontId="2" fillId="0" borderId="0" xfId="0" applyFont="1"/>
    <xf numFmtId="0" fontId="5" fillId="0" borderId="0" xfId="0" applyFont="1"/>
    <xf numFmtId="0" fontId="0" fillId="0" borderId="0" xfId="0" applyAlignment="1">
      <alignment horizontal="left" vertical="top" wrapText="1"/>
    </xf>
    <xf numFmtId="0" fontId="6" fillId="0" borderId="0" xfId="0" applyFont="1"/>
    <xf numFmtId="0" fontId="7" fillId="0" borderId="0" xfId="0" applyFont="1"/>
    <xf numFmtId="0" fontId="0" fillId="0" borderId="1" xfId="0" applyBorder="1"/>
    <xf numFmtId="0" fontId="0" fillId="0" borderId="3" xfId="0" applyBorder="1"/>
    <xf numFmtId="0" fontId="0" fillId="0" borderId="6" xfId="0" applyBorder="1" applyAlignment="1">
      <alignment horizontal="center" vertical="center" wrapText="1"/>
    </xf>
    <xf numFmtId="0" fontId="9" fillId="0" borderId="0" xfId="0" applyFont="1"/>
    <xf numFmtId="0" fontId="0" fillId="0" borderId="0" xfId="0" applyAlignment="1">
      <alignment horizontal="center" vertical="center"/>
    </xf>
    <xf numFmtId="9" fontId="0" fillId="0" borderId="0" xfId="2" applyFont="1"/>
    <xf numFmtId="0" fontId="0" fillId="0" borderId="12" xfId="0" applyBorder="1" applyAlignment="1">
      <alignment horizontal="center" vertical="center"/>
    </xf>
    <xf numFmtId="0" fontId="4" fillId="0" borderId="0" xfId="3"/>
    <xf numFmtId="0" fontId="0" fillId="0" borderId="1" xfId="0" applyBorder="1" applyAlignment="1">
      <alignment vertical="center" wrapText="1"/>
    </xf>
    <xf numFmtId="1" fontId="0" fillId="0" borderId="0" xfId="0" applyNumberFormat="1"/>
    <xf numFmtId="1" fontId="0" fillId="0" borderId="1" xfId="0" applyNumberForma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2" fontId="0" fillId="0" borderId="1" xfId="0" applyNumberFormat="1" applyBorder="1" applyAlignment="1">
      <alignment horizontal="center" vertical="center"/>
    </xf>
    <xf numFmtId="166" fontId="0" fillId="0" borderId="1" xfId="0" applyNumberFormat="1" applyBorder="1" applyAlignment="1">
      <alignment horizontal="center" vertical="center"/>
    </xf>
    <xf numFmtId="1" fontId="0" fillId="0" borderId="9" xfId="0" applyNumberFormat="1" applyBorder="1" applyAlignment="1">
      <alignment horizontal="center" vertical="center"/>
    </xf>
    <xf numFmtId="0" fontId="0" fillId="0" borderId="5" xfId="0" applyBorder="1" applyAlignment="1">
      <alignment horizontal="center" vertical="center" wrapText="1"/>
    </xf>
    <xf numFmtId="1" fontId="0" fillId="0" borderId="12" xfId="0" applyNumberFormat="1" applyBorder="1" applyAlignment="1">
      <alignment horizontal="center" vertical="center"/>
    </xf>
    <xf numFmtId="0" fontId="0" fillId="0" borderId="9" xfId="0" applyBorder="1" applyAlignment="1">
      <alignment horizontal="center" vertical="center"/>
    </xf>
    <xf numFmtId="2" fontId="0" fillId="0" borderId="12" xfId="0" applyNumberFormat="1"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7" fillId="0" borderId="0" xfId="0" applyFont="1" applyAlignment="1">
      <alignment horizontal="left" vertical="top"/>
    </xf>
    <xf numFmtId="9" fontId="0" fillId="0" borderId="0" xfId="0" applyNumberFormat="1"/>
    <xf numFmtId="9" fontId="10" fillId="0" borderId="0" xfId="0" applyNumberFormat="1" applyFont="1"/>
    <xf numFmtId="0" fontId="10" fillId="0" borderId="0" xfId="0" applyFont="1"/>
    <xf numFmtId="11" fontId="0" fillId="0" borderId="1" xfId="0" applyNumberFormat="1" applyBorder="1" applyAlignment="1">
      <alignment horizontal="center" vertical="center"/>
    </xf>
    <xf numFmtId="168" fontId="0" fillId="0" borderId="1" xfId="0" applyNumberFormat="1" applyBorder="1" applyAlignment="1">
      <alignment horizontal="center" vertical="center"/>
    </xf>
    <xf numFmtId="165" fontId="0" fillId="0" borderId="1" xfId="0" applyNumberFormat="1" applyBorder="1" applyAlignment="1">
      <alignment horizontal="center" vertical="center"/>
    </xf>
    <xf numFmtId="167" fontId="12" fillId="0" borderId="6" xfId="1" applyNumberFormat="1" applyFont="1" applyBorder="1" applyAlignment="1">
      <alignment horizontal="center" vertical="center" wrapText="1"/>
    </xf>
    <xf numFmtId="167" fontId="12" fillId="0" borderId="7" xfId="1" applyNumberFormat="1" applyFont="1" applyBorder="1" applyAlignment="1">
      <alignment horizontal="center" vertical="center" wrapText="1"/>
    </xf>
    <xf numFmtId="0" fontId="0" fillId="0" borderId="8" xfId="0" applyBorder="1" applyAlignment="1">
      <alignment horizontal="left" vertical="top" wrapText="1"/>
    </xf>
    <xf numFmtId="2" fontId="0" fillId="0" borderId="9" xfId="0" applyNumberFormat="1" applyBorder="1" applyAlignment="1">
      <alignment horizontal="center" vertical="center"/>
    </xf>
    <xf numFmtId="11" fontId="0" fillId="0" borderId="9" xfId="0" applyNumberFormat="1" applyBorder="1" applyAlignment="1">
      <alignment horizontal="center" vertical="center"/>
    </xf>
    <xf numFmtId="0" fontId="0" fillId="0" borderId="14" xfId="0" applyBorder="1" applyAlignment="1">
      <alignment horizontal="left" vertical="top" wrapText="1"/>
    </xf>
    <xf numFmtId="168" fontId="0" fillId="0" borderId="12" xfId="0" applyNumberFormat="1" applyBorder="1" applyAlignment="1">
      <alignment horizontal="center" vertical="center"/>
    </xf>
    <xf numFmtId="165" fontId="0" fillId="0" borderId="12" xfId="0" applyNumberFormat="1" applyBorder="1" applyAlignment="1">
      <alignment horizontal="center" vertical="center"/>
    </xf>
    <xf numFmtId="168" fontId="0" fillId="0" borderId="13" xfId="0" applyNumberFormat="1" applyBorder="1" applyAlignment="1">
      <alignment horizontal="center" vertical="center"/>
    </xf>
    <xf numFmtId="11" fontId="0" fillId="0" borderId="10" xfId="0" applyNumberFormat="1" applyBorder="1" applyAlignment="1">
      <alignment horizontal="center" vertical="center"/>
    </xf>
    <xf numFmtId="2" fontId="0" fillId="0" borderId="13" xfId="0" applyNumberFormat="1" applyBorder="1" applyAlignment="1">
      <alignment horizontal="center" vertical="center"/>
    </xf>
    <xf numFmtId="0" fontId="0" fillId="0" borderId="1" xfId="0" applyBorder="1" applyAlignment="1">
      <alignment horizontal="center"/>
    </xf>
    <xf numFmtId="0" fontId="0" fillId="0" borderId="0" xfId="0" applyAlignment="1">
      <alignment horizontal="left"/>
    </xf>
    <xf numFmtId="2" fontId="3" fillId="0" borderId="1" xfId="0" applyNumberFormat="1" applyFont="1" applyBorder="1" applyAlignment="1">
      <alignment horizontal="center" vertical="center" wrapText="1"/>
    </xf>
    <xf numFmtId="168" fontId="3" fillId="0" borderId="1" xfId="0" applyNumberFormat="1" applyFont="1" applyBorder="1" applyAlignment="1">
      <alignment horizontal="center" vertical="center" wrapText="1"/>
    </xf>
    <xf numFmtId="167" fontId="12" fillId="0" borderId="21" xfId="1" applyNumberFormat="1" applyFont="1" applyBorder="1" applyAlignment="1">
      <alignment horizontal="center" vertical="center" wrapText="1"/>
    </xf>
    <xf numFmtId="0" fontId="0" fillId="0" borderId="25" xfId="0" applyBorder="1"/>
    <xf numFmtId="0" fontId="0" fillId="0" borderId="2" xfId="0" applyBorder="1"/>
    <xf numFmtId="0" fontId="0" fillId="0" borderId="4" xfId="0" applyBorder="1"/>
    <xf numFmtId="168" fontId="0" fillId="0" borderId="0" xfId="0" applyNumberFormat="1"/>
    <xf numFmtId="0" fontId="0" fillId="0" borderId="0" xfId="0" applyAlignment="1">
      <alignment horizontal="center" vertical="center" wrapText="1"/>
    </xf>
    <xf numFmtId="1" fontId="0" fillId="0" borderId="1" xfId="0" applyNumberFormat="1" applyBorder="1"/>
    <xf numFmtId="0" fontId="0" fillId="0" borderId="0" xfId="0" applyAlignment="1">
      <alignment horizontal="left" vertical="center"/>
    </xf>
    <xf numFmtId="168" fontId="0" fillId="0" borderId="2" xfId="0" applyNumberFormat="1" applyBorder="1" applyAlignment="1">
      <alignment horizontal="center"/>
    </xf>
    <xf numFmtId="0" fontId="2"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4" fontId="0" fillId="0" borderId="0" xfId="0" applyNumberFormat="1"/>
    <xf numFmtId="3" fontId="0" fillId="0" borderId="0" xfId="0" applyNumberFormat="1"/>
    <xf numFmtId="0" fontId="0" fillId="0" borderId="16" xfId="0" applyBorder="1" applyAlignment="1">
      <alignment horizontal="center"/>
    </xf>
    <xf numFmtId="0" fontId="0" fillId="0" borderId="1" xfId="0"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center"/>
    </xf>
    <xf numFmtId="0" fontId="0" fillId="0" borderId="0" xfId="0" applyAlignment="1">
      <alignment wrapText="1"/>
    </xf>
    <xf numFmtId="43" fontId="0" fillId="0" borderId="0" xfId="1" applyFont="1" applyFill="1"/>
    <xf numFmtId="0" fontId="13" fillId="0" borderId="0" xfId="0" applyFont="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2" fillId="0" borderId="0" xfId="0" applyFont="1" applyAlignment="1">
      <alignment horizontal="right"/>
    </xf>
    <xf numFmtId="0" fontId="14" fillId="0" borderId="0" xfId="0" applyFont="1" applyAlignment="1">
      <alignment wrapText="1"/>
    </xf>
    <xf numFmtId="173" fontId="0" fillId="0" borderId="0" xfId="0" applyNumberFormat="1"/>
    <xf numFmtId="0" fontId="2" fillId="0" borderId="0" xfId="0" applyFont="1" applyAlignment="1">
      <alignment horizontal="left"/>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0" fillId="0" borderId="17" xfId="0" applyBorder="1" applyAlignment="1">
      <alignment horizontal="right"/>
    </xf>
    <xf numFmtId="0" fontId="0" fillId="0" borderId="24"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67" fontId="0" fillId="0" borderId="4" xfId="1" applyNumberFormat="1" applyFont="1" applyFill="1" applyBorder="1" applyAlignment="1">
      <alignment horizontal="center"/>
    </xf>
    <xf numFmtId="9" fontId="0" fillId="0" borderId="1" xfId="2" applyFont="1" applyFill="1" applyBorder="1" applyAlignment="1">
      <alignment horizontal="center"/>
    </xf>
    <xf numFmtId="0" fontId="0" fillId="0" borderId="17" xfId="0" applyBorder="1" applyAlignment="1">
      <alignment horizontal="center" vertical="center"/>
    </xf>
    <xf numFmtId="168" fontId="0" fillId="0" borderId="3" xfId="0" applyNumberFormat="1" applyBorder="1" applyAlignment="1">
      <alignment horizontal="center"/>
    </xf>
    <xf numFmtId="168" fontId="0" fillId="0" borderId="4" xfId="0" applyNumberFormat="1" applyBorder="1" applyAlignment="1">
      <alignment horizontal="center"/>
    </xf>
    <xf numFmtId="1" fontId="0" fillId="0" borderId="2" xfId="0" applyNumberFormat="1" applyBorder="1" applyAlignment="1">
      <alignment horizontal="center" vertical="center"/>
    </xf>
    <xf numFmtId="1" fontId="0" fillId="0" borderId="3" xfId="0" applyNumberFormat="1" applyBorder="1" applyAlignment="1">
      <alignment horizontal="center" vertical="center"/>
    </xf>
    <xf numFmtId="1" fontId="0" fillId="0" borderId="4" xfId="0" applyNumberFormat="1" applyBorder="1" applyAlignment="1">
      <alignment horizontal="center" vertical="center"/>
    </xf>
    <xf numFmtId="0" fontId="0" fillId="0" borderId="1" xfId="0" applyBorder="1" applyAlignment="1">
      <alignment horizontal="right"/>
    </xf>
    <xf numFmtId="11" fontId="0" fillId="0" borderId="0" xfId="0" applyNumberFormat="1"/>
    <xf numFmtId="11" fontId="0" fillId="0" borderId="0" xfId="0" applyNumberFormat="1" applyAlignment="1">
      <alignment horizontal="center"/>
    </xf>
    <xf numFmtId="168" fontId="0" fillId="0" borderId="0" xfId="0" applyNumberFormat="1" applyAlignment="1">
      <alignment horizontal="center"/>
    </xf>
    <xf numFmtId="0" fontId="0" fillId="0" borderId="1" xfId="1" applyNumberFormat="1" applyFont="1" applyFill="1" applyBorder="1" applyAlignment="1">
      <alignment horizontal="center"/>
    </xf>
    <xf numFmtId="0" fontId="0" fillId="0" borderId="22" xfId="0" applyBorder="1" applyAlignment="1">
      <alignment horizontal="center"/>
    </xf>
    <xf numFmtId="0" fontId="0" fillId="0" borderId="20" xfId="0" applyBorder="1" applyAlignment="1">
      <alignment horizontal="center"/>
    </xf>
    <xf numFmtId="1" fontId="0" fillId="0" borderId="1" xfId="1" applyNumberFormat="1" applyFont="1" applyBorder="1" applyAlignment="1">
      <alignment horizontal="center" vertical="center"/>
    </xf>
    <xf numFmtId="168" fontId="0" fillId="0" borderId="0" xfId="0" applyNumberFormat="1" applyAlignment="1">
      <alignment horizontal="center" vertical="center"/>
    </xf>
    <xf numFmtId="168" fontId="0" fillId="0" borderId="1" xfId="0" quotePrefix="1" applyNumberFormat="1" applyBorder="1" applyAlignment="1">
      <alignment horizontal="center" vertical="center"/>
    </xf>
    <xf numFmtId="3" fontId="0" fillId="0" borderId="2" xfId="1" applyNumberFormat="1" applyFont="1" applyFill="1" applyBorder="1" applyAlignment="1">
      <alignment horizontal="center"/>
    </xf>
    <xf numFmtId="3" fontId="0" fillId="0" borderId="3" xfId="1" applyNumberFormat="1" applyFont="1" applyFill="1" applyBorder="1" applyAlignment="1">
      <alignment horizontal="center"/>
    </xf>
    <xf numFmtId="3" fontId="0" fillId="0" borderId="4" xfId="1" applyNumberFormat="1" applyFont="1" applyFill="1" applyBorder="1" applyAlignment="1">
      <alignment horizontal="center"/>
    </xf>
    <xf numFmtId="3" fontId="0" fillId="0" borderId="1" xfId="1" applyNumberFormat="1" applyFont="1" applyFill="1" applyBorder="1" applyAlignment="1">
      <alignment horizontal="center"/>
    </xf>
    <xf numFmtId="168" fontId="0" fillId="0" borderId="0" xfId="0" applyNumberFormat="1" applyAlignment="1">
      <alignment horizontal="left" vertical="center"/>
    </xf>
    <xf numFmtId="168" fontId="0" fillId="0" borderId="0" xfId="0" applyNumberFormat="1" applyAlignment="1">
      <alignment horizontal="left" vertical="center" wrapText="1"/>
    </xf>
    <xf numFmtId="0" fontId="0" fillId="0" borderId="0" xfId="0" applyAlignment="1">
      <alignment vertical="center"/>
    </xf>
    <xf numFmtId="11" fontId="0" fillId="0" borderId="1" xfId="0" applyNumberFormat="1" applyBorder="1" applyAlignment="1">
      <alignment horizontal="center"/>
    </xf>
    <xf numFmtId="0" fontId="0" fillId="0" borderId="1" xfId="0" applyBorder="1" applyAlignment="1">
      <alignment horizontal="left" vertical="center" wrapText="1"/>
    </xf>
    <xf numFmtId="3" fontId="0" fillId="0" borderId="1" xfId="0" applyNumberFormat="1" applyBorder="1" applyAlignment="1">
      <alignment horizontal="center" vertical="center"/>
    </xf>
    <xf numFmtId="166" fontId="0" fillId="0" borderId="1" xfId="0" quotePrefix="1" applyNumberFormat="1" applyBorder="1" applyAlignment="1">
      <alignment horizontal="center" vertical="center"/>
    </xf>
    <xf numFmtId="0" fontId="15" fillId="0" borderId="0" xfId="0" applyFont="1" applyAlignment="1">
      <alignment vertical="top"/>
    </xf>
    <xf numFmtId="0" fontId="19" fillId="0" borderId="1" xfId="0" applyFont="1" applyBorder="1" applyAlignment="1">
      <alignment horizontal="center" vertical="center" wrapText="1"/>
    </xf>
    <xf numFmtId="6" fontId="0" fillId="0" borderId="1" xfId="0" applyNumberFormat="1" applyBorder="1" applyAlignment="1">
      <alignment horizontal="center" vertical="center"/>
    </xf>
    <xf numFmtId="0" fontId="16" fillId="0" borderId="1" xfId="0" applyFont="1" applyBorder="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xf numFmtId="174" fontId="3" fillId="0" borderId="1" xfId="0" applyNumberFormat="1" applyFont="1" applyBorder="1" applyAlignment="1">
      <alignment horizontal="center" vertical="center" wrapText="1"/>
    </xf>
    <xf numFmtId="175" fontId="3" fillId="0" borderId="1" xfId="0" applyNumberFormat="1" applyFont="1" applyBorder="1" applyAlignment="1">
      <alignment horizontal="center" vertical="center" wrapText="1"/>
    </xf>
    <xf numFmtId="175" fontId="0" fillId="0" borderId="1" xfId="0" applyNumberFormat="1" applyBorder="1" applyAlignment="1">
      <alignment horizontal="center"/>
    </xf>
    <xf numFmtId="0" fontId="0" fillId="0" borderId="1" xfId="0" quotePrefix="1" applyBorder="1" applyAlignment="1">
      <alignment horizontal="center" vertical="center"/>
    </xf>
    <xf numFmtId="44" fontId="2" fillId="0" borderId="0" xfId="4" applyFont="1"/>
    <xf numFmtId="0" fontId="9" fillId="0" borderId="0" xfId="0" applyFont="1" applyAlignment="1">
      <alignment horizontal="left" vertical="top" wrapText="1"/>
    </xf>
    <xf numFmtId="0" fontId="2" fillId="0" borderId="17" xfId="0" applyFont="1" applyBorder="1" applyAlignment="1">
      <alignment horizontal="center" vertical="center"/>
    </xf>
    <xf numFmtId="0" fontId="20" fillId="0" borderId="1" xfId="0" applyFont="1" applyBorder="1" applyAlignment="1">
      <alignment horizontal="center" vertical="center" wrapText="1"/>
    </xf>
    <xf numFmtId="0" fontId="9" fillId="0" borderId="1" xfId="0" applyFont="1" applyBorder="1" applyAlignment="1">
      <alignment horizontal="center"/>
    </xf>
    <xf numFmtId="0" fontId="9" fillId="0" borderId="0" xfId="0" applyFont="1" applyAlignment="1">
      <alignment horizontal="center"/>
    </xf>
    <xf numFmtId="0" fontId="0" fillId="0" borderId="1" xfId="0" quotePrefix="1" applyBorder="1" applyAlignment="1">
      <alignment horizontal="center"/>
    </xf>
    <xf numFmtId="3" fontId="9" fillId="0" borderId="1" xfId="0" applyNumberFormat="1" applyFont="1" applyBorder="1" applyAlignment="1">
      <alignment horizontal="center"/>
    </xf>
    <xf numFmtId="168" fontId="9" fillId="0" borderId="1" xfId="0" applyNumberFormat="1" applyFont="1" applyBorder="1" applyAlignment="1">
      <alignment horizontal="center"/>
    </xf>
    <xf numFmtId="2" fontId="0" fillId="0" borderId="0" xfId="0" applyNumberFormat="1" applyAlignment="1">
      <alignment vertical="center"/>
    </xf>
    <xf numFmtId="0" fontId="0" fillId="0" borderId="0" xfId="0" applyAlignment="1">
      <alignment horizontal="left" vertical="center" indent="1"/>
    </xf>
    <xf numFmtId="0" fontId="7" fillId="0" borderId="0" xfId="0" applyFont="1" applyAlignment="1">
      <alignment vertical="center"/>
    </xf>
    <xf numFmtId="4" fontId="3" fillId="0" borderId="1" xfId="0" applyNumberFormat="1" applyFont="1" applyBorder="1" applyAlignment="1">
      <alignment horizontal="center" vertical="center" wrapText="1"/>
    </xf>
    <xf numFmtId="0" fontId="4" fillId="0" borderId="0" xfId="3" applyAlignment="1">
      <alignment vertical="center"/>
    </xf>
    <xf numFmtId="0" fontId="2" fillId="0" borderId="0" xfId="0" applyFont="1" applyAlignment="1">
      <alignment vertical="center"/>
    </xf>
    <xf numFmtId="0" fontId="0" fillId="0" borderId="0" xfId="0" applyAlignment="1">
      <alignment horizontal="left" vertical="top"/>
    </xf>
    <xf numFmtId="3" fontId="0" fillId="0" borderId="0" xfId="0" applyNumberFormat="1" applyAlignment="1">
      <alignment horizontal="right" vertical="top"/>
    </xf>
    <xf numFmtId="3" fontId="0" fillId="0" borderId="12" xfId="0" applyNumberFormat="1" applyBorder="1" applyAlignment="1">
      <alignment horizontal="center" vertical="center"/>
    </xf>
    <xf numFmtId="167" fontId="12" fillId="0" borderId="28" xfId="1" applyNumberFormat="1" applyFont="1" applyBorder="1" applyAlignment="1">
      <alignment horizontal="center" vertical="center" wrapText="1"/>
    </xf>
    <xf numFmtId="167" fontId="12" fillId="0" borderId="29" xfId="1" applyNumberFormat="1" applyFont="1" applyBorder="1" applyAlignment="1">
      <alignment horizontal="center" vertical="center" wrapText="1"/>
    </xf>
    <xf numFmtId="167" fontId="12" fillId="0" borderId="30" xfId="1" applyNumberFormat="1" applyFont="1" applyBorder="1" applyAlignment="1">
      <alignment horizontal="center" vertical="center" wrapText="1"/>
    </xf>
    <xf numFmtId="2" fontId="0" fillId="0" borderId="33" xfId="0" applyNumberFormat="1" applyBorder="1" applyAlignment="1">
      <alignment horizontal="center" vertical="center"/>
    </xf>
    <xf numFmtId="168" fontId="0" fillId="0" borderId="32" xfId="0" applyNumberFormat="1" applyBorder="1" applyAlignment="1">
      <alignment horizontal="center" vertical="center"/>
    </xf>
    <xf numFmtId="168" fontId="0" fillId="0" borderId="31" xfId="0" quotePrefix="1" applyNumberFormat="1" applyBorder="1" applyAlignment="1">
      <alignment horizontal="center" vertical="center"/>
    </xf>
    <xf numFmtId="11" fontId="0" fillId="0" borderId="1" xfId="0" quotePrefix="1" applyNumberFormat="1" applyBorder="1" applyAlignment="1">
      <alignment horizontal="center" vertical="center"/>
    </xf>
    <xf numFmtId="3" fontId="0" fillId="0" borderId="9" xfId="0" applyNumberFormat="1" applyBorder="1" applyAlignment="1">
      <alignment horizontal="center" vertical="center"/>
    </xf>
    <xf numFmtId="11" fontId="0" fillId="0" borderId="9" xfId="0" quotePrefix="1" applyNumberFormat="1" applyBorder="1" applyAlignment="1">
      <alignment horizontal="center" vertical="center"/>
    </xf>
    <xf numFmtId="11" fontId="0" fillId="0" borderId="10" xfId="0" quotePrefix="1" applyNumberFormat="1" applyBorder="1" applyAlignment="1">
      <alignment horizontal="center" vertical="center"/>
    </xf>
    <xf numFmtId="0" fontId="0" fillId="0" borderId="15" xfId="0" applyBorder="1" applyAlignment="1">
      <alignment horizontal="center" vertical="center" wrapText="1"/>
    </xf>
    <xf numFmtId="11" fontId="0" fillId="0" borderId="11" xfId="0" quotePrefix="1" applyNumberFormat="1" applyBorder="1" applyAlignment="1">
      <alignment horizontal="center" vertical="center"/>
    </xf>
    <xf numFmtId="11" fontId="0" fillId="0" borderId="12" xfId="0" applyNumberFormat="1" applyBorder="1" applyAlignment="1">
      <alignment horizontal="center" vertical="center"/>
    </xf>
    <xf numFmtId="11" fontId="0" fillId="0" borderId="13" xfId="0" applyNumberFormat="1" applyBorder="1" applyAlignment="1">
      <alignment horizontal="center" vertical="center"/>
    </xf>
    <xf numFmtId="178" fontId="2" fillId="0" borderId="0" xfId="4" applyNumberFormat="1" applyFont="1"/>
    <xf numFmtId="0" fontId="0" fillId="0" borderId="8" xfId="0" applyBorder="1" applyAlignment="1">
      <alignment horizontal="center" vertical="top"/>
    </xf>
    <xf numFmtId="0" fontId="0" fillId="0" borderId="15" xfId="0" applyBorder="1" applyAlignment="1">
      <alignment horizontal="center"/>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169" fontId="0" fillId="0" borderId="0" xfId="0" applyNumberFormat="1"/>
    <xf numFmtId="2" fontId="0" fillId="0" borderId="0" xfId="0" applyNumberFormat="1"/>
    <xf numFmtId="43" fontId="0" fillId="0" borderId="0" xfId="1" applyFont="1" applyFill="1" applyBorder="1"/>
    <xf numFmtId="3" fontId="0" fillId="0" borderId="0" xfId="0" applyNumberFormat="1" applyAlignment="1">
      <alignment wrapText="1"/>
    </xf>
    <xf numFmtId="0" fontId="7" fillId="0" borderId="16" xfId="0" applyFont="1" applyBorder="1" applyAlignment="1">
      <alignment horizontal="center" vertical="center"/>
    </xf>
    <xf numFmtId="2" fontId="0" fillId="0" borderId="0" xfId="0" applyNumberFormat="1" applyAlignment="1">
      <alignment horizontal="right" vertical="center"/>
    </xf>
    <xf numFmtId="168" fontId="0" fillId="0" borderId="16" xfId="0" applyNumberFormat="1" applyBorder="1" applyAlignment="1">
      <alignment horizontal="center" vertical="center"/>
    </xf>
    <xf numFmtId="164" fontId="0" fillId="0" borderId="16" xfId="0" applyNumberFormat="1" applyBorder="1" applyAlignment="1">
      <alignment horizontal="center" vertical="center"/>
    </xf>
    <xf numFmtId="0" fontId="7" fillId="0" borderId="1" xfId="0" applyFont="1" applyBorder="1" applyAlignment="1">
      <alignment horizontal="center" vertical="center"/>
    </xf>
    <xf numFmtId="164" fontId="0" fillId="0" borderId="1" xfId="0" applyNumberFormat="1" applyBorder="1" applyAlignment="1">
      <alignment horizontal="center" vertical="center"/>
    </xf>
    <xf numFmtId="2" fontId="0" fillId="0" borderId="0" xfId="0" applyNumberFormat="1" applyAlignment="1">
      <alignment horizontal="center" vertical="center"/>
    </xf>
    <xf numFmtId="11" fontId="3" fillId="0" borderId="1" xfId="0" applyNumberFormat="1" applyFont="1" applyBorder="1" applyAlignment="1">
      <alignment horizontal="center" vertical="center" wrapText="1"/>
    </xf>
    <xf numFmtId="9" fontId="0" fillId="0" borderId="0" xfId="0" applyNumberFormat="1" applyAlignment="1">
      <alignment horizontal="right"/>
    </xf>
    <xf numFmtId="0" fontId="0" fillId="0" borderId="34" xfId="0" applyBorder="1" applyAlignment="1">
      <alignment horizontal="center" vertical="center" wrapText="1"/>
    </xf>
    <xf numFmtId="0" fontId="0" fillId="0" borderId="28" xfId="0" applyBorder="1" applyAlignment="1">
      <alignment horizontal="center" vertical="center" wrapText="1"/>
    </xf>
    <xf numFmtId="176" fontId="0" fillId="0" borderId="1" xfId="0" applyNumberForma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wrapText="1"/>
    </xf>
    <xf numFmtId="0" fontId="0" fillId="0" borderId="9" xfId="0" quotePrefix="1" applyBorder="1" applyAlignment="1">
      <alignment horizontal="center" vertical="center"/>
    </xf>
    <xf numFmtId="0" fontId="0" fillId="0" borderId="15" xfId="0" applyBorder="1" applyAlignment="1">
      <alignment horizontal="center" vertical="center"/>
    </xf>
    <xf numFmtId="168" fontId="0" fillId="0" borderId="12" xfId="0" quotePrefix="1"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9" fillId="0" borderId="12" xfId="0" applyFont="1" applyBorder="1" applyAlignment="1">
      <alignment horizontal="center" vertical="center" wrapText="1"/>
    </xf>
    <xf numFmtId="0" fontId="0" fillId="0" borderId="13" xfId="0" applyBorder="1" applyAlignment="1">
      <alignment horizontal="center" vertical="center"/>
    </xf>
    <xf numFmtId="168" fontId="0" fillId="0" borderId="9" xfId="0" applyNumberFormat="1" applyBorder="1"/>
    <xf numFmtId="4" fontId="0" fillId="0" borderId="1" xfId="0" applyNumberFormat="1" applyBorder="1"/>
    <xf numFmtId="11" fontId="0" fillId="0" borderId="1" xfId="0" applyNumberFormat="1" applyBorder="1"/>
    <xf numFmtId="0" fontId="0" fillId="0" borderId="0" xfId="0" applyAlignment="1">
      <alignment horizontal="right" vertical="top"/>
    </xf>
    <xf numFmtId="165" fontId="0" fillId="0" borderId="0" xfId="0" applyNumberFormat="1" applyAlignment="1">
      <alignment horizontal="right"/>
    </xf>
    <xf numFmtId="166" fontId="0" fillId="0" borderId="0" xfId="0" applyNumberFormat="1" applyAlignment="1">
      <alignment horizontal="right" vertical="center"/>
    </xf>
    <xf numFmtId="1" fontId="0" fillId="0" borderId="0" xfId="0" applyNumberFormat="1" applyAlignment="1">
      <alignment horizontal="right" vertical="center"/>
    </xf>
    <xf numFmtId="0" fontId="0" fillId="0" borderId="7" xfId="0" applyBorder="1" applyAlignment="1">
      <alignment horizontal="center" vertical="center" wrapText="1"/>
    </xf>
    <xf numFmtId="177" fontId="0" fillId="0" borderId="1" xfId="0" applyNumberFormat="1" applyBorder="1" applyAlignment="1">
      <alignment horizontal="center" vertical="center"/>
    </xf>
    <xf numFmtId="43" fontId="0" fillId="0" borderId="0" xfId="1" applyFont="1" applyBorder="1" applyAlignment="1">
      <alignment horizontal="center" vertical="center"/>
    </xf>
    <xf numFmtId="179" fontId="0" fillId="0" borderId="0" xfId="1" applyNumberFormat="1" applyFont="1" applyBorder="1" applyAlignment="1">
      <alignment horizontal="center" vertical="center"/>
    </xf>
    <xf numFmtId="165" fontId="0" fillId="0" borderId="9" xfId="0" quotePrefix="1" applyNumberFormat="1" applyBorder="1" applyAlignment="1">
      <alignment horizontal="center" vertical="center"/>
    </xf>
    <xf numFmtId="44" fontId="0" fillId="0" borderId="1" xfId="0" applyNumberFormat="1" applyBorder="1" applyAlignment="1">
      <alignment horizontal="center" vertical="center"/>
    </xf>
    <xf numFmtId="0" fontId="0" fillId="0" borderId="0" xfId="0" applyAlignment="1">
      <alignment vertical="top"/>
    </xf>
    <xf numFmtId="1" fontId="0" fillId="0" borderId="0" xfId="0" applyNumberFormat="1" applyAlignment="1">
      <alignment horizontal="center" vertical="center"/>
    </xf>
    <xf numFmtId="1" fontId="0" fillId="0" borderId="0" xfId="0" applyNumberFormat="1" applyAlignment="1">
      <alignment horizontal="center"/>
    </xf>
    <xf numFmtId="1" fontId="0" fillId="0" borderId="9" xfId="0" applyNumberFormat="1" applyBorder="1" applyAlignment="1">
      <alignment horizontal="center" vertical="center" wrapText="1"/>
    </xf>
    <xf numFmtId="168" fontId="0" fillId="0" borderId="9" xfId="0" quotePrefix="1" applyNumberFormat="1" applyBorder="1" applyAlignment="1">
      <alignment horizontal="center" vertical="center"/>
    </xf>
    <xf numFmtId="174" fontId="0" fillId="0" borderId="1" xfId="0" applyNumberFormat="1" applyBorder="1" applyAlignment="1">
      <alignment horizontal="center" vertical="center"/>
    </xf>
    <xf numFmtId="2" fontId="0" fillId="0" borderId="1" xfId="0" applyNumberFormat="1" applyBorder="1"/>
    <xf numFmtId="3" fontId="0" fillId="0" borderId="0" xfId="0" applyNumberFormat="1" applyAlignment="1">
      <alignment horizontal="right" vertical="center"/>
    </xf>
    <xf numFmtId="0" fontId="0" fillId="0" borderId="6" xfId="1" applyNumberFormat="1" applyFont="1" applyBorder="1" applyAlignment="1">
      <alignment horizontal="center" vertical="center"/>
    </xf>
    <xf numFmtId="1" fontId="0" fillId="0" borderId="7" xfId="1" applyNumberFormat="1" applyFont="1" applyBorder="1" applyAlignment="1">
      <alignment horizontal="center" vertical="center"/>
    </xf>
    <xf numFmtId="177" fontId="0" fillId="0" borderId="1" xfId="0" applyNumberFormat="1" applyBorder="1"/>
    <xf numFmtId="2" fontId="0" fillId="0" borderId="9" xfId="0" applyNumberFormat="1" applyBorder="1"/>
    <xf numFmtId="0" fontId="0" fillId="0" borderId="16" xfId="0" applyBorder="1" applyAlignment="1">
      <alignment horizontal="center" vertical="center" wrapText="1"/>
    </xf>
    <xf numFmtId="2" fontId="0" fillId="0" borderId="16" xfId="0" applyNumberFormat="1" applyBorder="1" applyAlignment="1">
      <alignment horizontal="center" vertical="center"/>
    </xf>
    <xf numFmtId="0" fontId="0" fillId="0" borderId="0" xfId="0" applyAlignment="1">
      <alignment vertical="center" wrapText="1"/>
    </xf>
    <xf numFmtId="0" fontId="9" fillId="0" borderId="0" xfId="0" applyFont="1" applyAlignment="1">
      <alignment vertical="top" wrapText="1"/>
    </xf>
    <xf numFmtId="0" fontId="7" fillId="0" borderId="0" xfId="0" applyFont="1" applyAlignment="1">
      <alignment horizontal="center" vertical="center"/>
    </xf>
    <xf numFmtId="165" fontId="0" fillId="0" borderId="0" xfId="0" applyNumberFormat="1" applyAlignment="1">
      <alignment horizontal="center" vertical="center"/>
    </xf>
    <xf numFmtId="168" fontId="0" fillId="0" borderId="0" xfId="0" applyNumberFormat="1" applyAlignment="1">
      <alignment vertical="center"/>
    </xf>
    <xf numFmtId="43" fontId="0" fillId="0" borderId="1" xfId="0" applyNumberFormat="1" applyBorder="1"/>
    <xf numFmtId="43" fontId="0" fillId="0" borderId="0" xfId="0" applyNumberFormat="1" applyAlignment="1">
      <alignment horizontal="left" vertical="center"/>
    </xf>
    <xf numFmtId="11" fontId="0" fillId="0" borderId="0" xfId="0" applyNumberFormat="1" applyAlignment="1">
      <alignment horizontal="right" vertical="center"/>
    </xf>
    <xf numFmtId="0" fontId="9" fillId="0" borderId="0" xfId="0" applyFont="1" applyAlignment="1">
      <alignment horizontal="left" vertical="top"/>
    </xf>
    <xf numFmtId="0" fontId="0" fillId="0" borderId="0" xfId="1" applyNumberFormat="1" applyFont="1" applyBorder="1" applyAlignment="1">
      <alignment horizontal="center" vertical="center"/>
    </xf>
    <xf numFmtId="1" fontId="0" fillId="0" borderId="0" xfId="1" applyNumberFormat="1" applyFont="1" applyBorder="1" applyAlignment="1">
      <alignment horizontal="center" vertical="center"/>
    </xf>
    <xf numFmtId="2" fontId="0" fillId="0" borderId="10" xfId="0" applyNumberFormat="1" applyBorder="1" applyAlignment="1">
      <alignment horizontal="center" vertical="center"/>
    </xf>
    <xf numFmtId="2" fontId="0" fillId="0" borderId="11" xfId="0" applyNumberFormat="1" applyBorder="1" applyAlignment="1">
      <alignment horizontal="center" vertical="center"/>
    </xf>
    <xf numFmtId="166" fontId="0" fillId="0" borderId="11" xfId="0" applyNumberFormat="1" applyBorder="1" applyAlignment="1">
      <alignment horizontal="center" vertical="center"/>
    </xf>
    <xf numFmtId="1" fontId="0" fillId="0" borderId="11" xfId="0" applyNumberFormat="1" applyBorder="1" applyAlignment="1">
      <alignment horizontal="center" vertical="center"/>
    </xf>
    <xf numFmtId="177" fontId="0" fillId="0" borderId="12" xfId="0" applyNumberFormat="1" applyBorder="1" applyAlignment="1">
      <alignment horizontal="center" vertical="center"/>
    </xf>
    <xf numFmtId="9" fontId="0" fillId="0" borderId="1" xfId="2" applyFont="1" applyBorder="1" applyAlignment="1">
      <alignment horizontal="center" vertical="center"/>
    </xf>
    <xf numFmtId="171" fontId="0" fillId="0" borderId="0" xfId="0" applyNumberFormat="1"/>
    <xf numFmtId="170" fontId="0" fillId="0" borderId="0" xfId="0" applyNumberFormat="1"/>
    <xf numFmtId="172" fontId="2" fillId="0" borderId="0" xfId="0" applyNumberFormat="1" applyFont="1"/>
    <xf numFmtId="180" fontId="0" fillId="0" borderId="0" xfId="0" applyNumberFormat="1"/>
    <xf numFmtId="180" fontId="19" fillId="0" borderId="1" xfId="0" applyNumberFormat="1" applyFont="1" applyBorder="1" applyAlignment="1">
      <alignment horizontal="center" vertical="center" wrapText="1"/>
    </xf>
    <xf numFmtId="180" fontId="0" fillId="0" borderId="9" xfId="4" applyNumberFormat="1" applyFont="1" applyBorder="1" applyAlignment="1">
      <alignment horizontal="right" vertical="top" wrapText="1"/>
    </xf>
    <xf numFmtId="180" fontId="0" fillId="0" borderId="1" xfId="4" applyNumberFormat="1" applyFont="1" applyBorder="1" applyAlignment="1">
      <alignment horizontal="right" vertical="top" wrapText="1"/>
    </xf>
    <xf numFmtId="180" fontId="0" fillId="0" borderId="0" xfId="0" applyNumberFormat="1" applyAlignment="1">
      <alignment horizontal="right"/>
    </xf>
    <xf numFmtId="180" fontId="16" fillId="0" borderId="1" xfId="0" applyNumberFormat="1" applyFont="1" applyBorder="1" applyAlignment="1">
      <alignment horizontal="right" vertical="center" wrapText="1"/>
    </xf>
    <xf numFmtId="180" fontId="19" fillId="0" borderId="1" xfId="0" applyNumberFormat="1" applyFont="1" applyBorder="1" applyAlignment="1">
      <alignment horizontal="right" vertical="center" wrapText="1"/>
    </xf>
    <xf numFmtId="180" fontId="0" fillId="0" borderId="10" xfId="0" applyNumberFormat="1" applyBorder="1"/>
    <xf numFmtId="180" fontId="0" fillId="0" borderId="11" xfId="0" applyNumberFormat="1" applyBorder="1"/>
    <xf numFmtId="180" fontId="2" fillId="0" borderId="1" xfId="0" applyNumberFormat="1" applyFont="1" applyBorder="1" applyAlignment="1">
      <alignment horizontal="center" vertical="center" wrapText="1"/>
    </xf>
    <xf numFmtId="180" fontId="2" fillId="0" borderId="1" xfId="0" applyNumberFormat="1" applyFont="1" applyBorder="1" applyAlignment="1">
      <alignment horizontal="center" vertical="center"/>
    </xf>
    <xf numFmtId="180" fontId="0" fillId="0" borderId="1" xfId="0" applyNumberFormat="1" applyBorder="1" applyAlignment="1">
      <alignment horizontal="center" vertical="center"/>
    </xf>
    <xf numFmtId="180" fontId="3" fillId="0" borderId="1" xfId="0" applyNumberFormat="1" applyFont="1" applyBorder="1" applyAlignment="1">
      <alignment vertical="center" wrapText="1"/>
    </xf>
    <xf numFmtId="180" fontId="2" fillId="0" borderId="16" xfId="0" applyNumberFormat="1" applyFont="1" applyBorder="1" applyAlignment="1">
      <alignment horizontal="center" vertical="center"/>
    </xf>
    <xf numFmtId="180" fontId="16" fillId="0" borderId="16" xfId="0" applyNumberFormat="1" applyFont="1" applyBorder="1" applyAlignment="1">
      <alignment horizontal="center" vertical="center" wrapText="1"/>
    </xf>
    <xf numFmtId="180" fontId="19" fillId="0" borderId="16" xfId="0" applyNumberFormat="1" applyFont="1" applyBorder="1" applyAlignment="1">
      <alignment horizontal="center" vertical="center" wrapText="1"/>
    </xf>
    <xf numFmtId="180" fontId="16" fillId="0" borderId="1" xfId="0" applyNumberFormat="1" applyFont="1" applyBorder="1" applyAlignment="1">
      <alignment horizontal="center" vertical="center" wrapText="1"/>
    </xf>
    <xf numFmtId="180" fontId="2" fillId="0" borderId="12" xfId="0" applyNumberFormat="1" applyFont="1" applyBorder="1" applyAlignment="1">
      <alignment horizontal="right"/>
    </xf>
    <xf numFmtId="166" fontId="2" fillId="0" borderId="12" xfId="0" applyNumberFormat="1" applyFont="1" applyBorder="1"/>
    <xf numFmtId="180" fontId="2" fillId="0" borderId="13" xfId="0" applyNumberFormat="1" applyFont="1" applyBorder="1"/>
    <xf numFmtId="180" fontId="2" fillId="0" borderId="0" xfId="0" applyNumberFormat="1" applyFont="1" applyAlignment="1">
      <alignment horizontal="right"/>
    </xf>
    <xf numFmtId="180" fontId="2" fillId="0" borderId="0" xfId="0" applyNumberFormat="1" applyFont="1"/>
    <xf numFmtId="180" fontId="23" fillId="0" borderId="1" xfId="0" applyNumberFormat="1" applyFont="1" applyBorder="1" applyAlignment="1">
      <alignment horizontal="right" vertical="center" wrapText="1"/>
    </xf>
    <xf numFmtId="4" fontId="23" fillId="0" borderId="1" xfId="0" applyNumberFormat="1" applyFont="1" applyBorder="1" applyAlignment="1">
      <alignment horizontal="center" vertical="center" wrapText="1"/>
    </xf>
    <xf numFmtId="6" fontId="2" fillId="0" borderId="1" xfId="0" applyNumberFormat="1" applyFont="1" applyBorder="1" applyAlignment="1">
      <alignment horizontal="center" vertical="center"/>
    </xf>
    <xf numFmtId="174" fontId="23" fillId="0" borderId="1" xfId="0" applyNumberFormat="1" applyFont="1" applyBorder="1" applyAlignment="1">
      <alignment horizontal="center" vertical="center" wrapText="1"/>
    </xf>
    <xf numFmtId="180" fontId="2" fillId="0" borderId="16" xfId="0" quotePrefix="1" applyNumberFormat="1" applyFont="1" applyBorder="1" applyAlignment="1">
      <alignment horizontal="center" vertical="center"/>
    </xf>
    <xf numFmtId="180" fontId="2" fillId="0" borderId="1" xfId="0" applyNumberFormat="1" applyFont="1" applyBorder="1"/>
    <xf numFmtId="0" fontId="2" fillId="0" borderId="35" xfId="0" applyFont="1" applyBorder="1" applyAlignment="1">
      <alignment horizontal="left" indent="1"/>
    </xf>
    <xf numFmtId="0" fontId="2" fillId="0" borderId="36" xfId="0" applyFont="1" applyBorder="1" applyAlignment="1">
      <alignment horizontal="left" indent="1"/>
    </xf>
    <xf numFmtId="0" fontId="19"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0" fillId="0" borderId="28" xfId="0" applyBorder="1" applyAlignment="1">
      <alignment horizontal="center" vertical="center" wrapText="1"/>
    </xf>
    <xf numFmtId="0" fontId="0" fillId="0" borderId="3" xfId="0" applyBorder="1" applyAlignment="1">
      <alignment horizontal="center" vertical="center" wrapText="1"/>
    </xf>
    <xf numFmtId="0" fontId="0" fillId="0" borderId="31" xfId="0" applyBorder="1" applyAlignment="1">
      <alignment horizontal="center" vertical="center" wrapText="1"/>
    </xf>
    <xf numFmtId="0" fontId="0" fillId="0" borderId="28" xfId="0" applyBorder="1" applyAlignment="1">
      <alignment horizontal="center" vertical="center"/>
    </xf>
    <xf numFmtId="0" fontId="0" fillId="0" borderId="3" xfId="0" applyBorder="1" applyAlignment="1">
      <alignment horizontal="center" vertical="center"/>
    </xf>
    <xf numFmtId="0" fontId="0" fillId="0" borderId="31" xfId="0" applyBorder="1" applyAlignment="1">
      <alignment horizontal="center" vertical="center"/>
    </xf>
    <xf numFmtId="0" fontId="0" fillId="0" borderId="34" xfId="0" applyBorder="1" applyAlignment="1">
      <alignment horizontal="center" vertical="center" wrapText="1"/>
    </xf>
    <xf numFmtId="0" fontId="0" fillId="0" borderId="27" xfId="0" applyBorder="1" applyAlignment="1">
      <alignment horizontal="center" vertical="center" wrapText="1"/>
    </xf>
    <xf numFmtId="0" fontId="0" fillId="0" borderId="37" xfId="0"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xf>
    <xf numFmtId="0" fontId="0" fillId="0" borderId="19" xfId="0" applyBorder="1" applyAlignment="1">
      <alignment horizontal="center"/>
    </xf>
    <xf numFmtId="9" fontId="0" fillId="0" borderId="2" xfId="0" applyNumberFormat="1" applyBorder="1" applyAlignment="1">
      <alignment horizontal="center" vertical="center"/>
    </xf>
    <xf numFmtId="9" fontId="0" fillId="0" borderId="3" xfId="0" applyNumberFormat="1" applyBorder="1" applyAlignment="1">
      <alignment horizontal="center" vertical="center"/>
    </xf>
    <xf numFmtId="0" fontId="9" fillId="0" borderId="0" xfId="0" applyFont="1" applyAlignment="1">
      <alignment horizontal="left" vertical="top" wrapText="1"/>
    </xf>
    <xf numFmtId="180" fontId="16" fillId="0" borderId="1" xfId="0" applyNumberFormat="1" applyFont="1" applyBorder="1" applyAlignment="1">
      <alignment horizontal="right" vertical="center" wrapText="1"/>
    </xf>
    <xf numFmtId="0" fontId="16" fillId="0" borderId="1"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6" xfId="0" applyFont="1" applyBorder="1" applyAlignment="1">
      <alignment horizontal="center" vertical="center" wrapText="1"/>
    </xf>
    <xf numFmtId="0" fontId="0" fillId="0" borderId="1" xfId="0" applyBorder="1" applyAlignment="1">
      <alignment horizontal="left" indent="4"/>
    </xf>
    <xf numFmtId="0" fontId="23" fillId="0" borderId="1" xfId="0" applyFont="1" applyBorder="1" applyAlignment="1">
      <alignment horizontal="left" vertical="center" wrapText="1"/>
    </xf>
    <xf numFmtId="180" fontId="23" fillId="0" borderId="1" xfId="0" applyNumberFormat="1" applyFont="1" applyBorder="1" applyAlignment="1">
      <alignment horizontal="right" vertical="center" wrapText="1"/>
    </xf>
    <xf numFmtId="0" fontId="2" fillId="0" borderId="1" xfId="0" applyFont="1" applyBorder="1" applyAlignment="1">
      <alignment horizontal="left"/>
    </xf>
    <xf numFmtId="0" fontId="0" fillId="0" borderId="1" xfId="0" applyBorder="1" applyAlignment="1">
      <alignment horizontal="center" vertical="center"/>
    </xf>
    <xf numFmtId="0" fontId="0" fillId="0" borderId="0" xfId="0" applyAlignment="1">
      <alignment horizontal="left" vertical="top" wrapText="1"/>
    </xf>
    <xf numFmtId="0" fontId="0" fillId="0" borderId="23" xfId="0" applyBorder="1" applyAlignment="1">
      <alignment horizontal="left" vertical="top"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180" fontId="3" fillId="0" borderId="1" xfId="0" applyNumberFormat="1" applyFont="1" applyBorder="1" applyAlignment="1">
      <alignment horizontal="right" vertical="center" wrapText="1"/>
    </xf>
    <xf numFmtId="0" fontId="0" fillId="0" borderId="0" xfId="0" applyAlignment="1">
      <alignment horizontal="center" wrapText="1"/>
    </xf>
    <xf numFmtId="168" fontId="0" fillId="0" borderId="1" xfId="0" applyNumberFormat="1" applyBorder="1" applyAlignment="1">
      <alignment horizontal="left" vertical="center"/>
    </xf>
    <xf numFmtId="180" fontId="0" fillId="0" borderId="0" xfId="0" applyNumberFormat="1" applyAlignment="1">
      <alignment horizontal="right" vertical="top" wrapText="1"/>
    </xf>
    <xf numFmtId="180" fontId="0" fillId="0" borderId="0" xfId="0" applyNumberFormat="1" applyAlignment="1">
      <alignment horizontal="left" vertical="top" wrapText="1"/>
    </xf>
    <xf numFmtId="168" fontId="0" fillId="0" borderId="17" xfId="0" applyNumberFormat="1" applyBorder="1" applyAlignment="1">
      <alignment horizontal="left" vertical="center"/>
    </xf>
    <xf numFmtId="168" fontId="0" fillId="0" borderId="18" xfId="0" applyNumberFormat="1" applyBorder="1" applyAlignment="1">
      <alignment horizontal="left" vertical="center"/>
    </xf>
    <xf numFmtId="168" fontId="0" fillId="0" borderId="19" xfId="0" applyNumberFormat="1"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9" fillId="0" borderId="23" xfId="0" applyFont="1" applyBorder="1" applyAlignment="1">
      <alignment horizontal="left" vertical="top"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0" fillId="0" borderId="38" xfId="0" applyBorder="1" applyAlignment="1">
      <alignment horizontal="left" vertical="top"/>
    </xf>
    <xf numFmtId="0" fontId="0" fillId="0" borderId="1" xfId="0" applyBorder="1" applyAlignment="1">
      <alignment horizontal="left" vertical="top" wrapText="1"/>
    </xf>
  </cellXfs>
  <cellStyles count="5">
    <cellStyle name="Comma" xfId="1" builtinId="3"/>
    <cellStyle name="Currency" xfId="4" builtinId="4"/>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tetratechinc-my.sharepoint.com/personal/brian_murphy2_tetratech_com/Documents/Projects/MT%20CPRG/2%20Implementation%20Grant/DNRC%20Application/Emissions%20Inventory/Files%20from%20MDEQ/First%20six%20modules/Ag%20Module_11.17.23.xlsm?7650FC54" TargetMode="External"/><Relationship Id="rId1" Type="http://schemas.openxmlformats.org/officeDocument/2006/relationships/externalLinkPath" Target="file:///\\7650FC54\Ag%20Module_11.17.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Name val="Dataframe"/>
      <sheetName val="Dataframe_Sum"/>
      <sheetName val="Enteric Fermentation"/>
      <sheetName val="CH4 from Manure Management"/>
      <sheetName val="N2O from Manure Management"/>
      <sheetName val="Ag Soils-Plant-Residues&amp;Legumes"/>
      <sheetName val="Ag Soils-Plant-Fertilizers"/>
      <sheetName val="Ag Soils-Animals"/>
      <sheetName val="Rice Cultivation"/>
      <sheetName val="Liming"/>
      <sheetName val="Urea Fertilization"/>
      <sheetName val="Ag. Residue Burning-CH4"/>
      <sheetName val="Ag. Residue Burning-N2O"/>
      <sheetName val="Summary"/>
      <sheetName val="Default Livestock_Crop Data "/>
      <sheetName val="Summary Figures"/>
      <sheetName val="National Adjustment"/>
      <sheetName val="Uncertainty"/>
      <sheetName val="constants"/>
      <sheetName val="FertilizerData"/>
      <sheetName val="enteric EFsNEW"/>
      <sheetName val="enteric EFs"/>
      <sheetName val="VS-CattleNEW"/>
      <sheetName val="VS-Cattle"/>
      <sheetName val="TAM and NEx Rates"/>
      <sheetName val="MCF"/>
      <sheetName val="Data Sources"/>
      <sheetName val="manure%"/>
      <sheetName val="Documentation"/>
      <sheetName val="Notes"/>
      <sheetName val="ListData"/>
      <sheetName val="animal data"/>
      <sheetName val="crop data"/>
      <sheetName val="burn data"/>
      <sheetName val="Urea Consump Calendar Yr"/>
      <sheetName val="Urea Consump Fert Yr"/>
      <sheetName val="Limestone Final Data"/>
      <sheetName val="Limestone, pre-correction"/>
      <sheetName val="Correc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0">
          <cell r="B20">
            <v>4.1000000000000002E-2</v>
          </cell>
        </row>
        <row r="21">
          <cell r="B21">
            <v>0.2</v>
          </cell>
        </row>
        <row r="22">
          <cell r="B22">
            <v>0.1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s.usda.gov/fv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A242B-4D40-40BF-A866-7F740EC7E32C}">
  <sheetPr>
    <pageSetUpPr fitToPage="1"/>
  </sheetPr>
  <dimension ref="A1:F17"/>
  <sheetViews>
    <sheetView tabSelected="1" zoomScale="130" zoomScaleNormal="130" zoomScaleSheetLayoutView="100" workbookViewId="0">
      <selection activeCell="C27" sqref="C27"/>
    </sheetView>
  </sheetViews>
  <sheetFormatPr defaultRowHeight="14.4" x14ac:dyDescent="0.3"/>
  <cols>
    <col min="1" max="1" width="10" customWidth="1"/>
    <col min="2" max="2" width="49.6640625" customWidth="1"/>
    <col min="3" max="3" width="15.33203125" bestFit="1" customWidth="1"/>
    <col min="4" max="4" width="11.6640625" customWidth="1"/>
    <col min="5" max="5" width="11.109375" customWidth="1"/>
    <col min="6" max="6" width="17.5546875" customWidth="1"/>
  </cols>
  <sheetData>
    <row r="1" spans="1:6" x14ac:dyDescent="0.3">
      <c r="A1" s="1" t="s">
        <v>0</v>
      </c>
    </row>
    <row r="2" spans="1:6" x14ac:dyDescent="0.3">
      <c r="A2" s="1" t="s">
        <v>421</v>
      </c>
    </row>
    <row r="3" spans="1:6" x14ac:dyDescent="0.3">
      <c r="A3" s="1" t="s">
        <v>420</v>
      </c>
    </row>
    <row r="5" spans="1:6" ht="15" thickBot="1" x14ac:dyDescent="0.35">
      <c r="A5" s="1" t="s">
        <v>422</v>
      </c>
    </row>
    <row r="6" spans="1:6" ht="15" thickTop="1" x14ac:dyDescent="0.3">
      <c r="A6" s="271" t="s">
        <v>239</v>
      </c>
      <c r="B6" s="268" t="s">
        <v>62</v>
      </c>
      <c r="C6" s="265" t="s">
        <v>288</v>
      </c>
      <c r="D6" s="263" t="s">
        <v>57</v>
      </c>
      <c r="E6" s="263"/>
      <c r="F6" s="182" t="s">
        <v>183</v>
      </c>
    </row>
    <row r="7" spans="1:6" ht="15.6" x14ac:dyDescent="0.3">
      <c r="A7" s="272"/>
      <c r="B7" s="269"/>
      <c r="C7" s="266"/>
      <c r="D7" s="264" t="s">
        <v>289</v>
      </c>
      <c r="E7" s="264"/>
      <c r="F7" s="183" t="s">
        <v>290</v>
      </c>
    </row>
    <row r="8" spans="1:6" ht="15" thickBot="1" x14ac:dyDescent="0.35">
      <c r="A8" s="273"/>
      <c r="B8" s="270"/>
      <c r="C8" s="267"/>
      <c r="D8" s="184" t="s">
        <v>58</v>
      </c>
      <c r="E8" s="184" t="s">
        <v>59</v>
      </c>
      <c r="F8" s="185" t="s">
        <v>186</v>
      </c>
    </row>
    <row r="9" spans="1:6" ht="15" thickTop="1" x14ac:dyDescent="0.3">
      <c r="A9" s="157">
        <v>1</v>
      </c>
      <c r="B9" s="66" t="s">
        <v>63</v>
      </c>
      <c r="C9" s="235">
        <v>8215955</v>
      </c>
      <c r="D9" s="186">
        <f>'1 Forest Management'!C20</f>
        <v>3.6666745532851784E-2</v>
      </c>
      <c r="E9" s="210">
        <f>'1 Forest Management'!D20</f>
        <v>0.10610891565951433</v>
      </c>
      <c r="F9" s="240">
        <f>C9/(D9*1000000)</f>
        <v>224.07101804655304</v>
      </c>
    </row>
    <row r="10" spans="1:6" x14ac:dyDescent="0.3">
      <c r="A10" s="158">
        <v>2</v>
      </c>
      <c r="B10" s="65" t="s">
        <v>64</v>
      </c>
      <c r="C10" s="236">
        <v>9737193</v>
      </c>
      <c r="D10" s="209">
        <f>'2 Urban Forests'!C16</f>
        <v>9.9971758347999984E-2</v>
      </c>
      <c r="E10" s="187">
        <f>'2 Urban Forests'!D16</f>
        <v>0.72030468355999999</v>
      </c>
      <c r="F10" s="241">
        <f t="shared" ref="F10:F14" si="0">C10/(D10*1000000)</f>
        <v>97.399437210106854</v>
      </c>
    </row>
    <row r="11" spans="1:6" x14ac:dyDescent="0.3">
      <c r="A11" s="158">
        <v>3</v>
      </c>
      <c r="B11" s="65" t="s">
        <v>65</v>
      </c>
      <c r="C11" s="236">
        <v>9816744</v>
      </c>
      <c r="D11" s="209">
        <f>'3 Coal Seams'!D15</f>
        <v>1.5695207684999999</v>
      </c>
      <c r="E11" s="56">
        <f>'3 Coal Seams'!E15</f>
        <v>12.0329925585</v>
      </c>
      <c r="F11" s="241">
        <f>'3 Coal Seams'!F15</f>
        <v>6.2546123613145435</v>
      </c>
    </row>
    <row r="12" spans="1:6" x14ac:dyDescent="0.3">
      <c r="A12" s="158">
        <v>4</v>
      </c>
      <c r="B12" s="65" t="s">
        <v>66</v>
      </c>
      <c r="C12" s="236">
        <v>1000000</v>
      </c>
      <c r="D12" s="188">
        <f>'4 Algal'!C17</f>
        <v>8.2447526768476771E-5</v>
      </c>
      <c r="E12" s="188">
        <f>'4 Algal'!D17</f>
        <v>6.3209770522498852E-4</v>
      </c>
      <c r="F12" s="241">
        <f>C12/(D12*1000000)</f>
        <v>12128.926593615453</v>
      </c>
    </row>
    <row r="13" spans="1:6" x14ac:dyDescent="0.3">
      <c r="A13" s="158">
        <v>5</v>
      </c>
      <c r="B13" s="65" t="s">
        <v>67</v>
      </c>
      <c r="C13" s="236">
        <v>1000000</v>
      </c>
      <c r="D13" s="205">
        <f>'5 Fertilzer'!C18</f>
        <v>7.4375062369025025E-2</v>
      </c>
      <c r="E13" s="205">
        <f>'5 Fertilzer'!D18</f>
        <v>0.57020881149585856</v>
      </c>
      <c r="F13" s="241">
        <f t="shared" si="0"/>
        <v>13.445366876310278</v>
      </c>
    </row>
    <row r="14" spans="1:6" x14ac:dyDescent="0.3">
      <c r="A14" s="158">
        <v>6</v>
      </c>
      <c r="B14" s="65" t="s">
        <v>68</v>
      </c>
      <c r="C14" s="236">
        <v>10000000</v>
      </c>
      <c r="D14" s="205">
        <f>'6 Ranchland'!C16</f>
        <v>0.125</v>
      </c>
      <c r="E14" s="205">
        <f>'6 Ranchland'!D16</f>
        <v>1.125</v>
      </c>
      <c r="F14" s="241">
        <f t="shared" si="0"/>
        <v>80</v>
      </c>
    </row>
    <row r="15" spans="1:6" x14ac:dyDescent="0.3">
      <c r="A15" s="158">
        <v>7</v>
      </c>
      <c r="B15" s="65" t="s">
        <v>69</v>
      </c>
      <c r="C15" s="236">
        <v>10000000</v>
      </c>
      <c r="D15" s="205">
        <f>'7 Cattle'!C21</f>
        <v>0.37133508544944255</v>
      </c>
      <c r="E15" s="205">
        <f>'7 Cattle'!D21</f>
        <v>3.2830676134929835</v>
      </c>
      <c r="F15" s="241">
        <f>'7 Cattle'!E21</f>
        <v>26.929854979624608</v>
      </c>
    </row>
    <row r="16" spans="1:6" ht="15" thickBot="1" x14ac:dyDescent="0.35">
      <c r="A16" s="261" t="s">
        <v>148</v>
      </c>
      <c r="B16" s="262"/>
      <c r="C16" s="250">
        <f>SUM(C9:C15)</f>
        <v>49769892</v>
      </c>
      <c r="D16" s="251">
        <f>SUM(D9:D14)</f>
        <v>1.905616782276645</v>
      </c>
      <c r="E16" s="251">
        <f>SUM(E9:E14)</f>
        <v>14.555247066920597</v>
      </c>
      <c r="F16" s="252">
        <f>C16/(D16*1000000)</f>
        <v>26.117471499458453</v>
      </c>
    </row>
    <row r="17" ht="15" thickTop="1" x14ac:dyDescent="0.3"/>
  </sheetData>
  <mergeCells count="6">
    <mergeCell ref="A16:B16"/>
    <mergeCell ref="D6:E6"/>
    <mergeCell ref="D7:E7"/>
    <mergeCell ref="C6:C8"/>
    <mergeCell ref="B6:B8"/>
    <mergeCell ref="A6:A8"/>
  </mergeCells>
  <pageMargins left="0.7" right="0.7" top="0.75" bottom="0.75" header="0.3" footer="0.3"/>
  <pageSetup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FE42A-1A2E-44A4-B0A2-758E50268115}">
  <dimension ref="A1:H141"/>
  <sheetViews>
    <sheetView view="pageBreakPreview" zoomScaleNormal="100" zoomScaleSheetLayoutView="100" workbookViewId="0">
      <selection activeCell="A6" sqref="A6:F16"/>
    </sheetView>
  </sheetViews>
  <sheetFormatPr defaultRowHeight="14.4" x14ac:dyDescent="0.3"/>
  <cols>
    <col min="1" max="1" width="16.88671875" customWidth="1"/>
    <col min="2" max="2" width="24.88671875" customWidth="1"/>
    <col min="3" max="3" width="27.44140625" customWidth="1"/>
    <col min="4" max="4" width="19.109375" customWidth="1"/>
    <col min="5" max="5" width="19.5546875" customWidth="1"/>
    <col min="6" max="6" width="15" customWidth="1"/>
    <col min="8" max="8" width="10.5546875" customWidth="1"/>
  </cols>
  <sheetData>
    <row r="1" spans="1:8" x14ac:dyDescent="0.3">
      <c r="A1" s="1" t="s">
        <v>0</v>
      </c>
    </row>
    <row r="2" spans="1:8" x14ac:dyDescent="0.3">
      <c r="A2" s="1" t="s">
        <v>421</v>
      </c>
    </row>
    <row r="3" spans="1:8" x14ac:dyDescent="0.3">
      <c r="A3" s="1" t="s">
        <v>420</v>
      </c>
    </row>
    <row r="5" spans="1:8" x14ac:dyDescent="0.3">
      <c r="A5" s="1" t="s">
        <v>1</v>
      </c>
      <c r="B5" s="1" t="s">
        <v>84</v>
      </c>
    </row>
    <row r="6" spans="1:8" x14ac:dyDescent="0.3">
      <c r="A6" s="1"/>
      <c r="B6" s="1"/>
    </row>
    <row r="7" spans="1:8" x14ac:dyDescent="0.3">
      <c r="A7" s="4" t="s">
        <v>8</v>
      </c>
      <c r="B7" s="1"/>
    </row>
    <row r="8" spans="1:8" x14ac:dyDescent="0.3">
      <c r="A8" t="s">
        <v>180</v>
      </c>
      <c r="B8" s="1"/>
    </row>
    <row r="9" spans="1:8" x14ac:dyDescent="0.3">
      <c r="A9" t="s">
        <v>181</v>
      </c>
      <c r="B9" s="1"/>
      <c r="C9" s="237">
        <v>8215955</v>
      </c>
      <c r="F9" s="233"/>
    </row>
    <row r="10" spans="1:8" x14ac:dyDescent="0.3">
      <c r="A10" s="1"/>
      <c r="B10" s="1"/>
      <c r="C10" s="237">
        <v>9737193</v>
      </c>
      <c r="F10" s="233"/>
    </row>
    <row r="11" spans="1:8" ht="15.6" x14ac:dyDescent="0.3">
      <c r="A11" s="114" t="s">
        <v>182</v>
      </c>
      <c r="B11" s="1"/>
      <c r="C11" s="237">
        <v>9816744</v>
      </c>
      <c r="F11" s="233"/>
    </row>
    <row r="12" spans="1:8" x14ac:dyDescent="0.3">
      <c r="A12" s="1"/>
      <c r="B12" s="1"/>
      <c r="C12" s="237"/>
      <c r="F12" s="233"/>
    </row>
    <row r="13" spans="1:8" x14ac:dyDescent="0.3">
      <c r="A13" s="287" t="s">
        <v>56</v>
      </c>
      <c r="B13" s="288"/>
      <c r="C13" s="285" t="s">
        <v>57</v>
      </c>
      <c r="D13" s="286"/>
      <c r="E13" s="59" t="s">
        <v>183</v>
      </c>
      <c r="F13" s="243" t="s">
        <v>192</v>
      </c>
    </row>
    <row r="14" spans="1:8" ht="15.6" x14ac:dyDescent="0.3">
      <c r="A14" s="289"/>
      <c r="B14" s="290"/>
      <c r="C14" s="285" t="s">
        <v>184</v>
      </c>
      <c r="D14" s="286"/>
      <c r="E14" s="59" t="s">
        <v>185</v>
      </c>
      <c r="F14" s="249" t="s">
        <v>187</v>
      </c>
      <c r="H14" s="118"/>
    </row>
    <row r="15" spans="1:8" x14ac:dyDescent="0.3">
      <c r="A15" s="291"/>
      <c r="B15" s="292"/>
      <c r="C15" s="239" t="s">
        <v>58</v>
      </c>
      <c r="D15" s="115" t="s">
        <v>59</v>
      </c>
      <c r="E15" s="61" t="s">
        <v>186</v>
      </c>
      <c r="F15" s="234" t="s">
        <v>188</v>
      </c>
      <c r="H15" s="119"/>
    </row>
    <row r="16" spans="1:8" x14ac:dyDescent="0.3">
      <c r="A16" s="294" t="s">
        <v>84</v>
      </c>
      <c r="B16" s="294"/>
      <c r="C16" s="295"/>
      <c r="D16" s="294"/>
      <c r="E16" s="294"/>
      <c r="F16" s="260"/>
    </row>
    <row r="17" spans="1:8" x14ac:dyDescent="0.3">
      <c r="A17" s="293" t="s">
        <v>189</v>
      </c>
      <c r="B17" s="293"/>
      <c r="C17" s="121">
        <f>E62/1000000</f>
        <v>5.7770335481518694E-4</v>
      </c>
      <c r="D17" s="120">
        <f>F62/1000000</f>
        <v>3.9567531678092321E-2</v>
      </c>
      <c r="E17" s="123" t="s">
        <v>152</v>
      </c>
      <c r="F17" s="123" t="s">
        <v>152</v>
      </c>
    </row>
    <row r="18" spans="1:8" x14ac:dyDescent="0.3">
      <c r="A18" s="293" t="s">
        <v>190</v>
      </c>
      <c r="B18" s="293"/>
      <c r="C18" s="120">
        <f>B104/1000000</f>
        <v>8.0000000000000002E-3</v>
      </c>
      <c r="D18" s="120">
        <f>D104/1000000</f>
        <v>3.8452341803385422E-2</v>
      </c>
      <c r="E18" s="123" t="s">
        <v>152</v>
      </c>
      <c r="F18" s="123" t="s">
        <v>152</v>
      </c>
    </row>
    <row r="19" spans="1:8" x14ac:dyDescent="0.3">
      <c r="A19" s="293" t="s">
        <v>191</v>
      </c>
      <c r="B19" s="293"/>
      <c r="C19" s="120">
        <f>D139/1000000</f>
        <v>2.8089042178036597E-2</v>
      </c>
      <c r="D19" s="120">
        <f>C19</f>
        <v>2.8089042178036597E-2</v>
      </c>
      <c r="E19" s="123" t="s">
        <v>152</v>
      </c>
      <c r="F19" s="113">
        <f>E140</f>
        <v>2.0599063131445181</v>
      </c>
    </row>
    <row r="20" spans="1:8" x14ac:dyDescent="0.3">
      <c r="A20" s="296" t="s">
        <v>148</v>
      </c>
      <c r="B20" s="296"/>
      <c r="C20" s="122">
        <f>SUM(C17:C19)</f>
        <v>3.6666745532851784E-2</v>
      </c>
      <c r="D20" s="122">
        <f>SUM(D17:D19)</f>
        <v>0.10610891565951433</v>
      </c>
      <c r="E20" s="116">
        <f>B22/(C20*1000000)</f>
        <v>211.36318174342316</v>
      </c>
      <c r="F20" s="20">
        <f>F19</f>
        <v>2.0599063131445181</v>
      </c>
    </row>
    <row r="21" spans="1:8" x14ac:dyDescent="0.3">
      <c r="A21" s="1"/>
      <c r="B21" s="1"/>
    </row>
    <row r="22" spans="1:8" x14ac:dyDescent="0.3">
      <c r="A22" s="1" t="s">
        <v>193</v>
      </c>
      <c r="B22" s="124">
        <v>7750000</v>
      </c>
    </row>
    <row r="24" spans="1:8" x14ac:dyDescent="0.3">
      <c r="A24" s="1" t="s">
        <v>2</v>
      </c>
    </row>
    <row r="25" spans="1:8" x14ac:dyDescent="0.3">
      <c r="A25" s="1" t="s">
        <v>89</v>
      </c>
    </row>
    <row r="27" spans="1:8" x14ac:dyDescent="0.3">
      <c r="A27" t="s">
        <v>91</v>
      </c>
    </row>
    <row r="28" spans="1:8" x14ac:dyDescent="0.3">
      <c r="A28" s="13" t="s">
        <v>92</v>
      </c>
    </row>
    <row r="30" spans="1:8" x14ac:dyDescent="0.3">
      <c r="A30" s="5" t="s">
        <v>109</v>
      </c>
    </row>
    <row r="31" spans="1:8" ht="34.5" customHeight="1" x14ac:dyDescent="0.3">
      <c r="A31" s="298" t="s">
        <v>110</v>
      </c>
      <c r="B31" s="298"/>
      <c r="C31" s="298"/>
      <c r="D31" s="298"/>
      <c r="E31" s="298"/>
      <c r="F31" s="298"/>
      <c r="G31" s="298"/>
      <c r="H31" s="298"/>
    </row>
    <row r="33" spans="1:8" x14ac:dyDescent="0.3">
      <c r="A33" t="s">
        <v>137</v>
      </c>
    </row>
    <row r="34" spans="1:8" x14ac:dyDescent="0.3">
      <c r="A34" s="63">
        <v>500000</v>
      </c>
      <c r="B34" t="s">
        <v>138</v>
      </c>
    </row>
    <row r="35" spans="1:8" x14ac:dyDescent="0.3">
      <c r="A35" s="63">
        <v>2500000</v>
      </c>
      <c r="B35" t="s">
        <v>151</v>
      </c>
    </row>
    <row r="37" spans="1:8" x14ac:dyDescent="0.3">
      <c r="A37" t="s">
        <v>437</v>
      </c>
    </row>
    <row r="38" spans="1:8" ht="43.2" x14ac:dyDescent="0.3">
      <c r="A38" s="77" t="s">
        <v>103</v>
      </c>
      <c r="B38" s="14" t="s">
        <v>93</v>
      </c>
      <c r="C38" s="78" t="s">
        <v>107</v>
      </c>
      <c r="D38" s="79" t="s">
        <v>94</v>
      </c>
      <c r="E38" s="79" t="s">
        <v>95</v>
      </c>
      <c r="F38" s="79" t="s">
        <v>96</v>
      </c>
      <c r="G38" s="79" t="s">
        <v>108</v>
      </c>
      <c r="H38" s="79" t="s">
        <v>97</v>
      </c>
    </row>
    <row r="39" spans="1:8" x14ac:dyDescent="0.3">
      <c r="A39" s="274" t="s">
        <v>104</v>
      </c>
      <c r="B39" s="52" t="s">
        <v>98</v>
      </c>
      <c r="C39" s="81">
        <v>30</v>
      </c>
      <c r="D39" s="282">
        <v>0.25</v>
      </c>
      <c r="E39" s="98">
        <f>C39*D39</f>
        <v>7.5</v>
      </c>
      <c r="F39" s="103">
        <f>$A$35*(E39/100)</f>
        <v>187500</v>
      </c>
      <c r="G39" s="81">
        <v>120</v>
      </c>
      <c r="H39" s="103">
        <f t="shared" ref="H39:H47" si="0">F39/G39</f>
        <v>1562.5</v>
      </c>
    </row>
    <row r="40" spans="1:8" x14ac:dyDescent="0.3">
      <c r="A40" s="269"/>
      <c r="B40" s="7" t="s">
        <v>99</v>
      </c>
      <c r="C40" s="71">
        <v>60</v>
      </c>
      <c r="D40" s="269"/>
      <c r="E40" s="64">
        <f>C40*D39</f>
        <v>15</v>
      </c>
      <c r="F40" s="104">
        <f t="shared" ref="F40:F47" si="1">$A$35*(E40/100)</f>
        <v>375000</v>
      </c>
      <c r="G40" s="71">
        <v>180</v>
      </c>
      <c r="H40" s="104">
        <f t="shared" si="0"/>
        <v>2083.3333333333335</v>
      </c>
    </row>
    <row r="41" spans="1:8" x14ac:dyDescent="0.3">
      <c r="A41" s="275"/>
      <c r="B41" s="53" t="s">
        <v>100</v>
      </c>
      <c r="C41" s="72">
        <v>10</v>
      </c>
      <c r="D41" s="275"/>
      <c r="E41" s="99">
        <f>C41*D39</f>
        <v>2.5</v>
      </c>
      <c r="F41" s="105">
        <f t="shared" si="1"/>
        <v>62500</v>
      </c>
      <c r="G41" s="72">
        <v>100</v>
      </c>
      <c r="H41" s="105">
        <f t="shared" si="0"/>
        <v>625</v>
      </c>
    </row>
    <row r="42" spans="1:8" x14ac:dyDescent="0.3">
      <c r="A42" s="274" t="s">
        <v>105</v>
      </c>
      <c r="B42" s="52" t="s">
        <v>98</v>
      </c>
      <c r="C42" s="81">
        <v>45</v>
      </c>
      <c r="D42" s="282">
        <v>0.25</v>
      </c>
      <c r="E42" s="82">
        <f>C42*D42</f>
        <v>11.25</v>
      </c>
      <c r="F42" s="103">
        <f t="shared" si="1"/>
        <v>281250</v>
      </c>
      <c r="G42" s="82">
        <v>110</v>
      </c>
      <c r="H42" s="103">
        <f t="shared" si="0"/>
        <v>2556.818181818182</v>
      </c>
    </row>
    <row r="43" spans="1:8" x14ac:dyDescent="0.3">
      <c r="A43" s="269"/>
      <c r="B43" s="7" t="s">
        <v>99</v>
      </c>
      <c r="C43" s="71">
        <v>45</v>
      </c>
      <c r="D43" s="269"/>
      <c r="E43" s="83">
        <f>C43*D42</f>
        <v>11.25</v>
      </c>
      <c r="F43" s="104">
        <f t="shared" si="1"/>
        <v>281250</v>
      </c>
      <c r="G43" s="83">
        <v>180</v>
      </c>
      <c r="H43" s="104">
        <f t="shared" si="0"/>
        <v>1562.5</v>
      </c>
    </row>
    <row r="44" spans="1:8" x14ac:dyDescent="0.3">
      <c r="A44" s="275"/>
      <c r="B44" s="53" t="s">
        <v>100</v>
      </c>
      <c r="C44" s="72">
        <v>10</v>
      </c>
      <c r="D44" s="275"/>
      <c r="E44" s="84">
        <f>C44*D42</f>
        <v>2.5</v>
      </c>
      <c r="F44" s="105">
        <f t="shared" si="1"/>
        <v>62500</v>
      </c>
      <c r="G44" s="84">
        <v>100</v>
      </c>
      <c r="H44" s="105">
        <f t="shared" si="0"/>
        <v>625</v>
      </c>
    </row>
    <row r="45" spans="1:8" x14ac:dyDescent="0.3">
      <c r="A45" s="276" t="s">
        <v>106</v>
      </c>
      <c r="B45" s="52" t="s">
        <v>98</v>
      </c>
      <c r="C45" s="81">
        <v>100</v>
      </c>
      <c r="D45" s="283">
        <v>0.5</v>
      </c>
      <c r="E45" s="82">
        <f>C45*D45</f>
        <v>50</v>
      </c>
      <c r="F45" s="103">
        <f t="shared" si="1"/>
        <v>1250000</v>
      </c>
      <c r="G45" s="82">
        <v>150</v>
      </c>
      <c r="H45" s="103">
        <f t="shared" si="0"/>
        <v>8333.3333333333339</v>
      </c>
    </row>
    <row r="46" spans="1:8" x14ac:dyDescent="0.3">
      <c r="A46" s="266"/>
      <c r="B46" s="7" t="s">
        <v>101</v>
      </c>
      <c r="C46" s="71">
        <v>0</v>
      </c>
      <c r="D46" s="269"/>
      <c r="E46" s="83">
        <f>C46*D45</f>
        <v>0</v>
      </c>
      <c r="F46" s="104">
        <f t="shared" si="1"/>
        <v>0</v>
      </c>
      <c r="G46" s="83">
        <v>180</v>
      </c>
      <c r="H46" s="104">
        <f t="shared" si="0"/>
        <v>0</v>
      </c>
    </row>
    <row r="47" spans="1:8" x14ac:dyDescent="0.3">
      <c r="A47" s="277"/>
      <c r="B47" s="53" t="s">
        <v>100</v>
      </c>
      <c r="C47" s="72">
        <v>0</v>
      </c>
      <c r="D47" s="275"/>
      <c r="E47" s="84">
        <f>C47*D45</f>
        <v>0</v>
      </c>
      <c r="F47" s="105">
        <f t="shared" si="1"/>
        <v>0</v>
      </c>
      <c r="G47" s="84">
        <v>100</v>
      </c>
      <c r="H47" s="105">
        <f t="shared" si="0"/>
        <v>0</v>
      </c>
    </row>
    <row r="48" spans="1:8" x14ac:dyDescent="0.3">
      <c r="C48" s="80" t="s">
        <v>102</v>
      </c>
      <c r="D48" s="86">
        <f t="shared" ref="D48:E48" si="2">SUM(D39:D47)</f>
        <v>1</v>
      </c>
      <c r="E48" s="97">
        <f t="shared" si="2"/>
        <v>100</v>
      </c>
      <c r="F48" s="106">
        <f>SUM(F39:F47)</f>
        <v>2500000</v>
      </c>
      <c r="G48" s="85"/>
      <c r="H48" s="106">
        <f>SUM(H39:H47)</f>
        <v>17348.484848484848</v>
      </c>
    </row>
    <row r="50" spans="1:6" x14ac:dyDescent="0.3">
      <c r="A50" s="5" t="s">
        <v>111</v>
      </c>
    </row>
    <row r="51" spans="1:6" x14ac:dyDescent="0.3">
      <c r="C51" s="278" t="s">
        <v>112</v>
      </c>
      <c r="D51" s="279"/>
      <c r="E51" s="280" t="s">
        <v>115</v>
      </c>
      <c r="F51" s="281"/>
    </row>
    <row r="52" spans="1:6" ht="30" x14ac:dyDescent="0.3">
      <c r="A52" s="77" t="s">
        <v>103</v>
      </c>
      <c r="B52" s="14" t="s">
        <v>93</v>
      </c>
      <c r="C52" s="79" t="s">
        <v>113</v>
      </c>
      <c r="D52" s="79" t="s">
        <v>114</v>
      </c>
      <c r="E52" s="60" t="s">
        <v>116</v>
      </c>
      <c r="F52" s="60" t="s">
        <v>117</v>
      </c>
    </row>
    <row r="53" spans="1:6" x14ac:dyDescent="0.3">
      <c r="A53" s="274" t="s">
        <v>104</v>
      </c>
      <c r="B53" s="52" t="s">
        <v>98</v>
      </c>
      <c r="C53" s="58">
        <v>5.3015154553577276E-2</v>
      </c>
      <c r="D53" s="58">
        <v>4.6067348301876354</v>
      </c>
      <c r="E53" s="90">
        <f>C53*H39</f>
        <v>82.836178989964495</v>
      </c>
      <c r="F53" s="103">
        <f>E53+(D53*H39)</f>
        <v>7280.8593511581448</v>
      </c>
    </row>
    <row r="54" spans="1:6" x14ac:dyDescent="0.3">
      <c r="A54" s="269"/>
      <c r="B54" s="7" t="s">
        <v>99</v>
      </c>
      <c r="C54" s="88">
        <v>4.2585344985127463E-2</v>
      </c>
      <c r="D54" s="88">
        <v>1.7232737224549064</v>
      </c>
      <c r="E54" s="91">
        <f t="shared" ref="E54:E61" si="3">C54*H40</f>
        <v>88.719468719015552</v>
      </c>
      <c r="F54" s="104">
        <f t="shared" ref="F54:F61" si="4">E54+(D54*H40)</f>
        <v>3678.8730571667375</v>
      </c>
    </row>
    <row r="55" spans="1:6" x14ac:dyDescent="0.3">
      <c r="A55" s="275"/>
      <c r="B55" s="53" t="s">
        <v>100</v>
      </c>
      <c r="C55" s="89">
        <v>2.5100000000000001E-2</v>
      </c>
      <c r="D55" s="89">
        <v>1.2457</v>
      </c>
      <c r="E55" s="92">
        <f t="shared" si="3"/>
        <v>15.6875</v>
      </c>
      <c r="F55" s="105">
        <f t="shared" si="4"/>
        <v>794.25</v>
      </c>
    </row>
    <row r="56" spans="1:6" x14ac:dyDescent="0.3">
      <c r="A56" s="274" t="s">
        <v>105</v>
      </c>
      <c r="B56" s="52" t="s">
        <v>98</v>
      </c>
      <c r="C56" s="58">
        <v>4.1403713985346279E-2</v>
      </c>
      <c r="D56" s="88">
        <v>2.8826944796601297</v>
      </c>
      <c r="E56" s="91">
        <f t="shared" si="3"/>
        <v>105.86176871253311</v>
      </c>
      <c r="F56" s="103">
        <f t="shared" si="4"/>
        <v>7476.387426934456</v>
      </c>
    </row>
    <row r="57" spans="1:6" x14ac:dyDescent="0.3">
      <c r="A57" s="269"/>
      <c r="B57" s="7" t="s">
        <v>99</v>
      </c>
      <c r="C57" s="88">
        <v>4.576389282010495E-2</v>
      </c>
      <c r="D57" s="88">
        <v>2.9182734659407341</v>
      </c>
      <c r="E57" s="91">
        <f t="shared" si="3"/>
        <v>71.506082531413981</v>
      </c>
      <c r="F57" s="104">
        <f t="shared" si="4"/>
        <v>4631.3083730638109</v>
      </c>
    </row>
    <row r="58" spans="1:6" x14ac:dyDescent="0.3">
      <c r="A58" s="275"/>
      <c r="B58" s="53" t="s">
        <v>100</v>
      </c>
      <c r="C58" s="89">
        <v>2.5100000000000001E-2</v>
      </c>
      <c r="D58" s="89">
        <v>1.2834000000000001</v>
      </c>
      <c r="E58" s="92">
        <f t="shared" si="3"/>
        <v>15.6875</v>
      </c>
      <c r="F58" s="105">
        <f t="shared" si="4"/>
        <v>817.81250000000011</v>
      </c>
    </row>
    <row r="59" spans="1:6" x14ac:dyDescent="0.3">
      <c r="A59" s="276" t="s">
        <v>106</v>
      </c>
      <c r="B59" s="52" t="s">
        <v>98</v>
      </c>
      <c r="C59" s="88">
        <v>2.368858270347117E-2</v>
      </c>
      <c r="D59" s="88">
        <v>1.7628763336688298</v>
      </c>
      <c r="E59" s="91">
        <f t="shared" si="3"/>
        <v>197.40485586225975</v>
      </c>
      <c r="F59" s="103">
        <f t="shared" si="4"/>
        <v>14888.040969769176</v>
      </c>
    </row>
    <row r="60" spans="1:6" x14ac:dyDescent="0.3">
      <c r="A60" s="266"/>
      <c r="B60" s="7" t="s">
        <v>101</v>
      </c>
      <c r="C60" s="88">
        <v>3.7427109666168648E-2</v>
      </c>
      <c r="D60" s="88">
        <v>2.4144571600481841</v>
      </c>
      <c r="E60" s="91">
        <f t="shared" si="3"/>
        <v>0</v>
      </c>
      <c r="F60" s="104">
        <f>E60+(D60*H46)</f>
        <v>0</v>
      </c>
    </row>
    <row r="61" spans="1:6" x14ac:dyDescent="0.3">
      <c r="A61" s="277"/>
      <c r="B61" s="53" t="s">
        <v>100</v>
      </c>
      <c r="C61" s="89">
        <v>4.5100000000000001E-2</v>
      </c>
      <c r="D61" s="89">
        <v>1.1081000000000001</v>
      </c>
      <c r="E61" s="92">
        <f t="shared" si="3"/>
        <v>0</v>
      </c>
      <c r="F61" s="105">
        <f t="shared" si="4"/>
        <v>0</v>
      </c>
    </row>
    <row r="62" spans="1:6" x14ac:dyDescent="0.3">
      <c r="D62" s="93" t="s">
        <v>102</v>
      </c>
      <c r="E62" s="100">
        <f>SUM(E53:E61)</f>
        <v>577.70335481518691</v>
      </c>
      <c r="F62" s="106">
        <f>SUM(F53:F61)</f>
        <v>39567.531678092324</v>
      </c>
    </row>
    <row r="64" spans="1:6" x14ac:dyDescent="0.3">
      <c r="A64" s="1" t="s">
        <v>90</v>
      </c>
    </row>
    <row r="66" spans="1:3" x14ac:dyDescent="0.3">
      <c r="A66" t="s">
        <v>438</v>
      </c>
    </row>
    <row r="68" spans="1:3" x14ac:dyDescent="0.3">
      <c r="A68" s="5" t="s">
        <v>439</v>
      </c>
    </row>
    <row r="69" spans="1:3" x14ac:dyDescent="0.3">
      <c r="A69" t="s">
        <v>118</v>
      </c>
      <c r="B69" t="s">
        <v>134</v>
      </c>
    </row>
    <row r="70" spans="1:3" x14ac:dyDescent="0.3">
      <c r="A70" t="s">
        <v>119</v>
      </c>
      <c r="B70" t="s">
        <v>135</v>
      </c>
    </row>
    <row r="72" spans="1:3" x14ac:dyDescent="0.3">
      <c r="A72" t="s">
        <v>120</v>
      </c>
    </row>
    <row r="73" spans="1:3" x14ac:dyDescent="0.3">
      <c r="A73" s="6"/>
      <c r="B73" s="6" t="s">
        <v>142</v>
      </c>
      <c r="C73" s="6" t="s">
        <v>121</v>
      </c>
    </row>
    <row r="74" spans="1:3" x14ac:dyDescent="0.3">
      <c r="A74" s="6" t="s">
        <v>122</v>
      </c>
      <c r="B74" s="6" t="s">
        <v>123</v>
      </c>
      <c r="C74" s="6" t="s">
        <v>124</v>
      </c>
    </row>
    <row r="75" spans="1:3" x14ac:dyDescent="0.3">
      <c r="A75" s="6" t="s">
        <v>125</v>
      </c>
      <c r="B75" s="6" t="s">
        <v>126</v>
      </c>
      <c r="C75" s="6" t="s">
        <v>127</v>
      </c>
    </row>
    <row r="76" spans="1:3" x14ac:dyDescent="0.3">
      <c r="A76" s="6" t="s">
        <v>128</v>
      </c>
      <c r="B76" s="6" t="s">
        <v>129</v>
      </c>
      <c r="C76" s="6" t="s">
        <v>129</v>
      </c>
    </row>
    <row r="77" spans="1:3" x14ac:dyDescent="0.3">
      <c r="A77" s="6" t="s">
        <v>130</v>
      </c>
      <c r="B77" s="6" t="s">
        <v>129</v>
      </c>
      <c r="C77" s="6" t="s">
        <v>131</v>
      </c>
    </row>
    <row r="78" spans="1:3" x14ac:dyDescent="0.3">
      <c r="A78" s="6" t="s">
        <v>132</v>
      </c>
      <c r="B78" s="6" t="s">
        <v>133</v>
      </c>
      <c r="C78" s="6" t="s">
        <v>133</v>
      </c>
    </row>
    <row r="80" spans="1:3" x14ac:dyDescent="0.3">
      <c r="A80" s="5" t="s">
        <v>146</v>
      </c>
    </row>
    <row r="82" spans="1:4" x14ac:dyDescent="0.3">
      <c r="A82" t="s">
        <v>147</v>
      </c>
    </row>
    <row r="83" spans="1:4" x14ac:dyDescent="0.3">
      <c r="A83" t="s">
        <v>143</v>
      </c>
    </row>
    <row r="85" spans="1:4" x14ac:dyDescent="0.3">
      <c r="A85" s="52"/>
      <c r="B85" s="297" t="s">
        <v>440</v>
      </c>
      <c r="C85" s="297"/>
      <c r="D85" s="297"/>
    </row>
    <row r="86" spans="1:4" x14ac:dyDescent="0.3">
      <c r="A86" s="7"/>
      <c r="B86" s="297" t="s">
        <v>144</v>
      </c>
      <c r="C86" s="297"/>
      <c r="D86" s="297"/>
    </row>
    <row r="87" spans="1:4" x14ac:dyDescent="0.3">
      <c r="A87" s="53"/>
      <c r="B87" s="61" t="s">
        <v>139</v>
      </c>
      <c r="C87" s="61" t="s">
        <v>140</v>
      </c>
      <c r="D87" s="61" t="s">
        <v>141</v>
      </c>
    </row>
    <row r="88" spans="1:4" x14ac:dyDescent="0.3">
      <c r="A88" s="6" t="s">
        <v>142</v>
      </c>
      <c r="B88" s="229">
        <v>0.80600000000000005</v>
      </c>
      <c r="C88" s="33">
        <v>2.9775200000000002</v>
      </c>
      <c r="D88" s="33">
        <f>C88+B88</f>
        <v>3.7835200000000002</v>
      </c>
    </row>
    <row r="89" spans="1:4" x14ac:dyDescent="0.3">
      <c r="A89" s="6" t="s">
        <v>121</v>
      </c>
      <c r="B89" s="229">
        <v>0.19400000000000001</v>
      </c>
      <c r="C89" s="33">
        <v>0.82902272542317823</v>
      </c>
      <c r="D89" s="33">
        <f>C89+B89</f>
        <v>1.0230227254231783</v>
      </c>
    </row>
    <row r="91" spans="1:4" x14ac:dyDescent="0.3">
      <c r="A91" s="5" t="s">
        <v>9</v>
      </c>
    </row>
    <row r="92" spans="1:4" x14ac:dyDescent="0.3">
      <c r="A92" s="5"/>
    </row>
    <row r="93" spans="1:4" x14ac:dyDescent="0.3">
      <c r="A93" t="s">
        <v>137</v>
      </c>
    </row>
    <row r="94" spans="1:4" x14ac:dyDescent="0.3">
      <c r="A94" s="63">
        <v>1600</v>
      </c>
      <c r="B94" t="s">
        <v>145</v>
      </c>
    </row>
    <row r="95" spans="1:4" x14ac:dyDescent="0.3">
      <c r="A95" s="63">
        <f>A94*5</f>
        <v>8000</v>
      </c>
      <c r="B95" t="s">
        <v>150</v>
      </c>
    </row>
    <row r="96" spans="1:4" x14ac:dyDescent="0.3">
      <c r="A96" s="29">
        <v>0.80600000000000005</v>
      </c>
      <c r="B96" t="s">
        <v>142</v>
      </c>
    </row>
    <row r="97" spans="1:4" x14ac:dyDescent="0.3">
      <c r="A97" s="29">
        <v>0.19400000000000001</v>
      </c>
      <c r="B97" t="s">
        <v>121</v>
      </c>
    </row>
    <row r="98" spans="1:4" x14ac:dyDescent="0.3">
      <c r="A98" s="29"/>
    </row>
    <row r="99" spans="1:4" x14ac:dyDescent="0.3">
      <c r="A99" s="52"/>
      <c r="B99" s="297" t="s">
        <v>440</v>
      </c>
      <c r="C99" s="297"/>
      <c r="D99" s="297"/>
    </row>
    <row r="100" spans="1:4" x14ac:dyDescent="0.3">
      <c r="A100" s="7"/>
      <c r="B100" s="297" t="s">
        <v>149</v>
      </c>
      <c r="C100" s="297"/>
      <c r="D100" s="297"/>
    </row>
    <row r="101" spans="1:4" x14ac:dyDescent="0.3">
      <c r="A101" s="53"/>
      <c r="B101" s="61" t="s">
        <v>139</v>
      </c>
      <c r="C101" s="61" t="s">
        <v>140</v>
      </c>
      <c r="D101" s="61" t="s">
        <v>141</v>
      </c>
    </row>
    <row r="102" spans="1:4" x14ac:dyDescent="0.3">
      <c r="A102" s="6" t="s">
        <v>142</v>
      </c>
      <c r="B102" s="103">
        <f>$A$95*B88</f>
        <v>6448</v>
      </c>
      <c r="C102" s="103">
        <f>$A$95*C88</f>
        <v>23820.16</v>
      </c>
      <c r="D102" s="103">
        <f>C102+B102</f>
        <v>30268.16</v>
      </c>
    </row>
    <row r="103" spans="1:4" x14ac:dyDescent="0.3">
      <c r="A103" s="6" t="s">
        <v>121</v>
      </c>
      <c r="B103" s="103">
        <f>$A$95*B89</f>
        <v>1552</v>
      </c>
      <c r="C103" s="103">
        <f>$A$95*C89</f>
        <v>6632.1818033854261</v>
      </c>
      <c r="D103" s="16">
        <f>C103+B103</f>
        <v>8184.1818033854261</v>
      </c>
    </row>
    <row r="104" spans="1:4" x14ac:dyDescent="0.3">
      <c r="A104" s="6" t="s">
        <v>148</v>
      </c>
      <c r="B104" s="106">
        <f>SUM(B102:B103)</f>
        <v>8000</v>
      </c>
      <c r="C104" s="102" t="s">
        <v>152</v>
      </c>
      <c r="D104" s="106">
        <f>SUM(D102:D103)</f>
        <v>38452.341803385425</v>
      </c>
    </row>
    <row r="105" spans="1:4" x14ac:dyDescent="0.3">
      <c r="B105" s="101"/>
      <c r="C105" s="101"/>
      <c r="D105" s="101"/>
    </row>
    <row r="106" spans="1:4" x14ac:dyDescent="0.3">
      <c r="A106" s="1" t="s">
        <v>153</v>
      </c>
      <c r="B106" s="101"/>
      <c r="C106" s="101"/>
      <c r="D106" s="101"/>
    </row>
    <row r="107" spans="1:4" x14ac:dyDescent="0.3">
      <c r="B107" s="101"/>
      <c r="C107" s="101"/>
      <c r="D107" s="101"/>
    </row>
    <row r="108" spans="1:4" x14ac:dyDescent="0.3">
      <c r="A108" t="s">
        <v>441</v>
      </c>
      <c r="B108" s="101"/>
      <c r="C108" s="101"/>
      <c r="D108" s="101"/>
    </row>
    <row r="109" spans="1:4" x14ac:dyDescent="0.3">
      <c r="B109" s="101"/>
      <c r="C109" s="101"/>
      <c r="D109" s="101"/>
    </row>
    <row r="110" spans="1:4" x14ac:dyDescent="0.3">
      <c r="A110" t="s">
        <v>137</v>
      </c>
      <c r="B110" s="101"/>
      <c r="C110" s="101"/>
      <c r="D110" s="101"/>
    </row>
    <row r="111" spans="1:4" x14ac:dyDescent="0.3">
      <c r="A111" s="63">
        <v>44000</v>
      </c>
      <c r="B111" s="107" t="s">
        <v>154</v>
      </c>
      <c r="C111" s="101"/>
      <c r="D111" s="101"/>
    </row>
    <row r="112" spans="1:4" x14ac:dyDescent="0.3">
      <c r="B112" s="101"/>
      <c r="C112" s="101"/>
      <c r="D112" s="101"/>
    </row>
    <row r="113" spans="1:8" x14ac:dyDescent="0.3">
      <c r="A113" s="5" t="s">
        <v>156</v>
      </c>
      <c r="B113" s="101"/>
      <c r="C113" s="101"/>
      <c r="D113" s="101"/>
    </row>
    <row r="114" spans="1:8" x14ac:dyDescent="0.3">
      <c r="B114" s="101"/>
      <c r="C114" s="101"/>
      <c r="D114" s="101"/>
    </row>
    <row r="115" spans="1:8" x14ac:dyDescent="0.3">
      <c r="A115" t="s">
        <v>155</v>
      </c>
      <c r="B115" s="101"/>
      <c r="C115" s="101"/>
      <c r="D115" s="101"/>
    </row>
    <row r="116" spans="1:8" x14ac:dyDescent="0.3">
      <c r="B116" s="101"/>
      <c r="C116" s="101"/>
      <c r="D116" s="101"/>
    </row>
    <row r="117" spans="1:8" x14ac:dyDescent="0.3">
      <c r="A117" t="s">
        <v>157</v>
      </c>
      <c r="B117" s="101"/>
      <c r="C117" s="101"/>
      <c r="D117" s="101"/>
    </row>
    <row r="118" spans="1:8" x14ac:dyDescent="0.3">
      <c r="A118" s="6" t="s">
        <v>161</v>
      </c>
      <c r="B118" s="46" t="s">
        <v>5</v>
      </c>
      <c r="C118" s="46" t="s">
        <v>6</v>
      </c>
      <c r="D118" s="46" t="s">
        <v>160</v>
      </c>
    </row>
    <row r="119" spans="1:8" x14ac:dyDescent="0.3">
      <c r="A119" s="6" t="s">
        <v>158</v>
      </c>
      <c r="B119" s="46">
        <v>1953.1579999999999</v>
      </c>
      <c r="C119" s="46">
        <v>3.2000000000000001E-2</v>
      </c>
      <c r="D119" s="46">
        <v>0.13</v>
      </c>
    </row>
    <row r="120" spans="1:8" x14ac:dyDescent="0.3">
      <c r="A120" s="6" t="s">
        <v>159</v>
      </c>
      <c r="B120" s="46">
        <f>B119/1953.158</f>
        <v>1</v>
      </c>
      <c r="C120" s="110">
        <f t="shared" ref="C120:D120" si="5">C119/1953.158</f>
        <v>1.638372318061314E-5</v>
      </c>
      <c r="D120" s="110">
        <f t="shared" si="5"/>
        <v>6.6558875421240891E-5</v>
      </c>
    </row>
    <row r="121" spans="1:8" ht="25.5" customHeight="1" x14ac:dyDescent="0.3">
      <c r="A121" s="284" t="s">
        <v>162</v>
      </c>
      <c r="B121" s="284"/>
      <c r="C121" s="284"/>
      <c r="D121" s="284"/>
      <c r="E121" s="284"/>
      <c r="F121" s="284"/>
      <c r="G121" s="284"/>
      <c r="H121" s="284"/>
    </row>
    <row r="122" spans="1:8" x14ac:dyDescent="0.3">
      <c r="A122" s="9" t="s">
        <v>435</v>
      </c>
      <c r="B122" s="101"/>
      <c r="C122" s="101"/>
      <c r="D122" s="101"/>
    </row>
    <row r="123" spans="1:8" x14ac:dyDescent="0.3">
      <c r="B123" s="101"/>
      <c r="C123" s="101"/>
      <c r="D123" s="101"/>
    </row>
    <row r="124" spans="1:8" x14ac:dyDescent="0.3">
      <c r="A124" t="s">
        <v>164</v>
      </c>
      <c r="B124" s="101"/>
      <c r="C124" s="101"/>
      <c r="D124" s="101"/>
    </row>
    <row r="125" spans="1:8" x14ac:dyDescent="0.3">
      <c r="A125" t="s">
        <v>166</v>
      </c>
      <c r="B125" t="s">
        <v>163</v>
      </c>
      <c r="C125" s="101"/>
      <c r="D125" s="101"/>
    </row>
    <row r="126" spans="1:8" ht="28.8" x14ac:dyDescent="0.3">
      <c r="A126" s="108" t="s">
        <v>167</v>
      </c>
      <c r="B126" s="101">
        <v>12.06</v>
      </c>
      <c r="C126" s="109" t="s">
        <v>168</v>
      </c>
      <c r="D126" s="101"/>
    </row>
    <row r="127" spans="1:8" ht="26.25" customHeight="1" x14ac:dyDescent="0.3">
      <c r="A127" s="284" t="s">
        <v>165</v>
      </c>
      <c r="B127" s="284"/>
      <c r="C127" s="284"/>
      <c r="D127" s="284"/>
      <c r="E127" s="284"/>
      <c r="F127" s="284"/>
      <c r="G127" s="284"/>
      <c r="H127" s="284"/>
    </row>
    <row r="128" spans="1:8" x14ac:dyDescent="0.3">
      <c r="B128" s="101"/>
      <c r="C128" s="101"/>
      <c r="D128" s="101"/>
    </row>
    <row r="129" spans="1:5" x14ac:dyDescent="0.3">
      <c r="A129" t="s">
        <v>169</v>
      </c>
      <c r="B129" s="101"/>
      <c r="C129" s="101"/>
      <c r="D129" s="101"/>
    </row>
    <row r="130" spans="1:5" x14ac:dyDescent="0.3">
      <c r="A130" t="s">
        <v>170</v>
      </c>
      <c r="B130" s="101">
        <v>52.91</v>
      </c>
      <c r="C130" s="107" t="s">
        <v>436</v>
      </c>
      <c r="D130" s="101"/>
    </row>
    <row r="131" spans="1:5" x14ac:dyDescent="0.3">
      <c r="B131" s="101"/>
      <c r="C131" s="101"/>
      <c r="D131" s="101"/>
    </row>
    <row r="132" spans="1:5" x14ac:dyDescent="0.3">
      <c r="A132" t="s">
        <v>171</v>
      </c>
      <c r="B132" s="101"/>
      <c r="C132" s="101"/>
      <c r="D132" s="101"/>
    </row>
    <row r="133" spans="1:5" x14ac:dyDescent="0.3">
      <c r="A133" t="s">
        <v>172</v>
      </c>
      <c r="B133" s="101">
        <f>B130*B126</f>
        <v>638.09460000000001</v>
      </c>
      <c r="C133" s="107" t="s">
        <v>173</v>
      </c>
      <c r="D133" s="101"/>
    </row>
    <row r="134" spans="1:5" x14ac:dyDescent="0.3">
      <c r="B134" s="101"/>
      <c r="C134" s="101"/>
      <c r="D134" s="101"/>
    </row>
    <row r="135" spans="1:5" x14ac:dyDescent="0.3">
      <c r="A135" t="s">
        <v>174</v>
      </c>
      <c r="B135" s="101"/>
      <c r="C135" s="101"/>
      <c r="D135" s="101"/>
    </row>
    <row r="136" spans="1:5" x14ac:dyDescent="0.3">
      <c r="A136" s="6" t="s">
        <v>177</v>
      </c>
      <c r="B136" s="46" t="s">
        <v>5</v>
      </c>
      <c r="C136" s="46" t="s">
        <v>6</v>
      </c>
      <c r="D136" s="46" t="s">
        <v>4</v>
      </c>
      <c r="E136" s="46" t="s">
        <v>160</v>
      </c>
    </row>
    <row r="137" spans="1:5" x14ac:dyDescent="0.3">
      <c r="A137" s="111" t="s">
        <v>175</v>
      </c>
      <c r="B137" s="33">
        <f>$B$133*B120</f>
        <v>638.09460000000001</v>
      </c>
      <c r="C137" s="33">
        <f>$B$133*C120</f>
        <v>1.045436528944407E-2</v>
      </c>
      <c r="D137" s="102" t="s">
        <v>152</v>
      </c>
      <c r="E137" s="33">
        <f>$B$133*D120</f>
        <v>4.2470858988366542E-2</v>
      </c>
    </row>
    <row r="138" spans="1:5" ht="28.8" x14ac:dyDescent="0.3">
      <c r="A138" s="111" t="s">
        <v>176</v>
      </c>
      <c r="B138" s="112">
        <f>B137*$A$111</f>
        <v>28076162.400000002</v>
      </c>
      <c r="C138" s="112">
        <f t="shared" ref="C138" si="6">C137*$A$111</f>
        <v>459.99207273553907</v>
      </c>
      <c r="D138" s="102" t="s">
        <v>152</v>
      </c>
      <c r="E138" s="112">
        <f>E137*$A$111</f>
        <v>1868.7177954881279</v>
      </c>
    </row>
    <row r="139" spans="1:5" ht="28.8" x14ac:dyDescent="0.3">
      <c r="A139" s="111" t="s">
        <v>178</v>
      </c>
      <c r="B139" s="112">
        <f>B138/1000</f>
        <v>28076.162400000001</v>
      </c>
      <c r="C139" s="19">
        <f t="shared" ref="C139" si="7">C138/1000</f>
        <v>0.45999207273553905</v>
      </c>
      <c r="D139" s="112">
        <f>B139+(C139*28)</f>
        <v>28089.042178036598</v>
      </c>
      <c r="E139" s="113" t="s">
        <v>152</v>
      </c>
    </row>
    <row r="140" spans="1:5" ht="28.8" x14ac:dyDescent="0.3">
      <c r="A140" s="111" t="s">
        <v>179</v>
      </c>
      <c r="B140" s="102" t="s">
        <v>152</v>
      </c>
      <c r="C140" s="102" t="s">
        <v>152</v>
      </c>
      <c r="D140" s="102" t="s">
        <v>152</v>
      </c>
      <c r="E140" s="20">
        <f>E138*0.00110231</f>
        <v>2.0599063131445181</v>
      </c>
    </row>
    <row r="141" spans="1:5" x14ac:dyDescent="0.3">
      <c r="B141" s="101"/>
      <c r="C141" s="101"/>
      <c r="D141" s="101"/>
    </row>
  </sheetData>
  <mergeCells count="26">
    <mergeCell ref="A121:H121"/>
    <mergeCell ref="A127:H127"/>
    <mergeCell ref="C13:D13"/>
    <mergeCell ref="C14:D14"/>
    <mergeCell ref="A13:B15"/>
    <mergeCell ref="A17:B17"/>
    <mergeCell ref="A18:B18"/>
    <mergeCell ref="A19:B19"/>
    <mergeCell ref="A16:E16"/>
    <mergeCell ref="A20:B20"/>
    <mergeCell ref="B85:D85"/>
    <mergeCell ref="B86:D86"/>
    <mergeCell ref="B99:D99"/>
    <mergeCell ref="B100:D100"/>
    <mergeCell ref="A31:H31"/>
    <mergeCell ref="A53:A55"/>
    <mergeCell ref="A56:A58"/>
    <mergeCell ref="A59:A61"/>
    <mergeCell ref="C51:D51"/>
    <mergeCell ref="E51:F51"/>
    <mergeCell ref="A39:A41"/>
    <mergeCell ref="D39:D41"/>
    <mergeCell ref="A42:A44"/>
    <mergeCell ref="D42:D44"/>
    <mergeCell ref="A45:A47"/>
    <mergeCell ref="D45:D47"/>
  </mergeCells>
  <phoneticPr fontId="11" type="noConversion"/>
  <hyperlinks>
    <hyperlink ref="A28" r:id="rId1" xr:uid="{5FD37025-1A4E-43E9-8D15-A8AC5C2C1C70}"/>
  </hyperlinks>
  <pageMargins left="0.7" right="0.7" top="0.75" bottom="0.75" header="0.3" footer="0.3"/>
  <pageSetup scale="83" fitToWidth="0" orientation="landscape" r:id="rId2"/>
  <rowBreaks count="2" manualBreakCount="2">
    <brk id="36" max="16383" man="1"/>
    <brk id="10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D6B3E-927F-48E8-BF31-B708F70B8B9B}">
  <dimension ref="A1:F62"/>
  <sheetViews>
    <sheetView view="pageBreakPreview" topLeftCell="A30" zoomScaleNormal="100" zoomScaleSheetLayoutView="100" workbookViewId="0">
      <selection activeCell="A6" sqref="A6:F16"/>
    </sheetView>
  </sheetViews>
  <sheetFormatPr defaultRowHeight="14.4" x14ac:dyDescent="0.3"/>
  <cols>
    <col min="1" max="1" width="16.88671875" customWidth="1"/>
    <col min="2" max="5" width="23.6640625" customWidth="1"/>
    <col min="6" max="6" width="15" customWidth="1"/>
  </cols>
  <sheetData>
    <row r="1" spans="1:6" x14ac:dyDescent="0.3">
      <c r="A1" s="1" t="s">
        <v>0</v>
      </c>
    </row>
    <row r="2" spans="1:6" x14ac:dyDescent="0.3">
      <c r="A2" s="1" t="s">
        <v>421</v>
      </c>
    </row>
    <row r="3" spans="1:6" x14ac:dyDescent="0.3">
      <c r="A3" s="1" t="s">
        <v>420</v>
      </c>
    </row>
    <row r="5" spans="1:6" x14ac:dyDescent="0.3">
      <c r="A5" s="1" t="s">
        <v>1</v>
      </c>
      <c r="B5" s="1" t="s">
        <v>64</v>
      </c>
    </row>
    <row r="7" spans="1:6" x14ac:dyDescent="0.3">
      <c r="A7" s="4" t="s">
        <v>8</v>
      </c>
      <c r="B7" s="1"/>
    </row>
    <row r="8" spans="1:6" x14ac:dyDescent="0.3">
      <c r="A8" t="s">
        <v>194</v>
      </c>
      <c r="B8" s="1"/>
    </row>
    <row r="9" spans="1:6" x14ac:dyDescent="0.3">
      <c r="A9" t="s">
        <v>195</v>
      </c>
      <c r="B9" s="1"/>
      <c r="C9" s="237">
        <v>8215955</v>
      </c>
      <c r="F9" s="233"/>
    </row>
    <row r="10" spans="1:6" x14ac:dyDescent="0.3">
      <c r="A10" s="1"/>
      <c r="B10" s="1"/>
      <c r="C10" s="237">
        <v>9737193</v>
      </c>
      <c r="F10" s="233"/>
    </row>
    <row r="11" spans="1:6" ht="15.6" x14ac:dyDescent="0.3">
      <c r="A11" s="114" t="s">
        <v>182</v>
      </c>
      <c r="B11" s="1"/>
      <c r="C11" s="237">
        <v>9816744</v>
      </c>
      <c r="F11" s="233"/>
    </row>
    <row r="12" spans="1:6" x14ac:dyDescent="0.3">
      <c r="A12" s="1"/>
      <c r="B12" s="1"/>
      <c r="C12" s="237"/>
      <c r="F12" s="233"/>
    </row>
    <row r="13" spans="1:6" x14ac:dyDescent="0.3">
      <c r="A13" s="287" t="s">
        <v>56</v>
      </c>
      <c r="B13" s="288"/>
      <c r="C13" s="285" t="s">
        <v>57</v>
      </c>
      <c r="D13" s="286"/>
      <c r="E13" s="126" t="s">
        <v>183</v>
      </c>
      <c r="F13" s="246"/>
    </row>
    <row r="14" spans="1:6" ht="15.6" x14ac:dyDescent="0.3">
      <c r="A14" s="289"/>
      <c r="B14" s="290"/>
      <c r="C14" s="285" t="s">
        <v>184</v>
      </c>
      <c r="D14" s="286"/>
      <c r="E14" s="126" t="s">
        <v>185</v>
      </c>
      <c r="F14" s="247"/>
    </row>
    <row r="15" spans="1:6" x14ac:dyDescent="0.3">
      <c r="A15" s="291"/>
      <c r="B15" s="292"/>
      <c r="C15" s="239" t="s">
        <v>58</v>
      </c>
      <c r="D15" s="115" t="s">
        <v>59</v>
      </c>
      <c r="E15" s="87" t="s">
        <v>186</v>
      </c>
      <c r="F15" s="248"/>
    </row>
    <row r="16" spans="1:6" ht="15.75" customHeight="1" x14ac:dyDescent="0.3">
      <c r="A16" s="300" t="s">
        <v>64</v>
      </c>
      <c r="B16" s="300"/>
      <c r="C16" s="255">
        <f>C57</f>
        <v>9.9971758347999984E-2</v>
      </c>
      <c r="D16" s="258">
        <f>C58</f>
        <v>0.72030468355999999</v>
      </c>
      <c r="E16" s="257">
        <f>B18/(C16*1000000)</f>
        <v>105.02966211167036</v>
      </c>
      <c r="F16" s="259"/>
    </row>
    <row r="17" spans="1:5" x14ac:dyDescent="0.3">
      <c r="A17" s="1"/>
      <c r="B17" s="1"/>
    </row>
    <row r="18" spans="1:5" x14ac:dyDescent="0.3">
      <c r="A18" s="1" t="s">
        <v>193</v>
      </c>
      <c r="B18" s="124">
        <v>10500000</v>
      </c>
    </row>
    <row r="20" spans="1:5" x14ac:dyDescent="0.3">
      <c r="A20" s="1" t="s">
        <v>2</v>
      </c>
    </row>
    <row r="22" spans="1:5" x14ac:dyDescent="0.3">
      <c r="A22" t="s">
        <v>200</v>
      </c>
      <c r="B22" t="s">
        <v>197</v>
      </c>
    </row>
    <row r="23" spans="1:5" ht="48" customHeight="1" x14ac:dyDescent="0.3">
      <c r="A23" s="298" t="s">
        <v>198</v>
      </c>
      <c r="B23" s="298"/>
      <c r="C23" s="298"/>
      <c r="D23" s="298"/>
      <c r="E23" s="298"/>
    </row>
    <row r="24" spans="1:5" x14ac:dyDescent="0.3">
      <c r="A24" t="s">
        <v>199</v>
      </c>
    </row>
    <row r="25" spans="1:5" x14ac:dyDescent="0.3">
      <c r="A25" t="s">
        <v>201</v>
      </c>
    </row>
    <row r="27" spans="1:5" x14ac:dyDescent="0.3">
      <c r="A27" s="5" t="s">
        <v>205</v>
      </c>
    </row>
    <row r="28" spans="1:5" x14ac:dyDescent="0.3">
      <c r="A28" s="5"/>
    </row>
    <row r="29" spans="1:5" x14ac:dyDescent="0.3">
      <c r="A29" t="s">
        <v>206</v>
      </c>
    </row>
    <row r="30" spans="1:5" ht="41.4" x14ac:dyDescent="0.3">
      <c r="A30" s="127" t="s">
        <v>61</v>
      </c>
      <c r="B30" s="127" t="s">
        <v>202</v>
      </c>
      <c r="C30" s="127" t="s">
        <v>203</v>
      </c>
      <c r="D30" s="127" t="s">
        <v>204</v>
      </c>
      <c r="E30" s="127" t="s">
        <v>196</v>
      </c>
    </row>
    <row r="31" spans="1:5" x14ac:dyDescent="0.3">
      <c r="A31" s="128">
        <v>1</v>
      </c>
      <c r="B31" s="128">
        <v>2.2999999999999998</v>
      </c>
      <c r="C31" s="128">
        <v>8.5</v>
      </c>
      <c r="D31" s="128">
        <v>4.2</v>
      </c>
      <c r="E31" s="128">
        <v>296.7</v>
      </c>
    </row>
    <row r="32" spans="1:5" x14ac:dyDescent="0.3">
      <c r="A32" s="128">
        <v>2</v>
      </c>
      <c r="B32" s="128">
        <v>4.5999999999999996</v>
      </c>
      <c r="C32" s="128">
        <v>17.2</v>
      </c>
      <c r="D32" s="128">
        <v>8.6</v>
      </c>
      <c r="E32" s="128">
        <v>594.70000000000005</v>
      </c>
    </row>
    <row r="33" spans="1:6" x14ac:dyDescent="0.3">
      <c r="A33" s="128">
        <v>3</v>
      </c>
      <c r="B33" s="128">
        <v>7</v>
      </c>
      <c r="C33" s="128">
        <v>25.8</v>
      </c>
      <c r="D33" s="128">
        <v>12.9</v>
      </c>
      <c r="E33" s="128">
        <v>894.2</v>
      </c>
    </row>
    <row r="34" spans="1:6" x14ac:dyDescent="0.3">
      <c r="A34" s="128">
        <v>4</v>
      </c>
      <c r="B34" s="128">
        <v>9.4</v>
      </c>
      <c r="C34" s="128">
        <v>34.5</v>
      </c>
      <c r="D34" s="128">
        <v>17.3</v>
      </c>
      <c r="E34" s="128">
        <v>1195.0999999999999</v>
      </c>
    </row>
    <row r="35" spans="1:6" x14ac:dyDescent="0.3">
      <c r="A35" s="128">
        <v>5</v>
      </c>
      <c r="B35" s="128">
        <v>11.8</v>
      </c>
      <c r="C35" s="128">
        <v>43.3</v>
      </c>
      <c r="D35" s="128">
        <v>21.7</v>
      </c>
      <c r="E35" s="128">
        <v>1497.4</v>
      </c>
    </row>
    <row r="36" spans="1:6" x14ac:dyDescent="0.3">
      <c r="A36" s="128">
        <v>20</v>
      </c>
      <c r="B36" s="128">
        <v>47.5</v>
      </c>
      <c r="C36" s="128">
        <v>174.3</v>
      </c>
      <c r="D36" s="128">
        <v>86.9</v>
      </c>
      <c r="E36" s="128">
        <v>5895.5</v>
      </c>
    </row>
    <row r="37" spans="1:6" x14ac:dyDescent="0.3">
      <c r="A37" s="128">
        <v>25</v>
      </c>
      <c r="B37" s="128">
        <f>SUM(B31:B35)+B36</f>
        <v>82.6</v>
      </c>
      <c r="C37" s="128">
        <f>SUM(C31:C35)+C36</f>
        <v>303.60000000000002</v>
      </c>
      <c r="D37" s="128">
        <f>SUM(D31:D35)+D36</f>
        <v>151.60000000000002</v>
      </c>
      <c r="E37" s="128">
        <f>SUM(E31:E35)+E36</f>
        <v>10373.6</v>
      </c>
    </row>
    <row r="38" spans="1:6" x14ac:dyDescent="0.3">
      <c r="A38" s="128">
        <v>2050</v>
      </c>
      <c r="B38" s="128">
        <f>B37+B31</f>
        <v>84.899999999999991</v>
      </c>
      <c r="C38" s="128">
        <f>C37+C31</f>
        <v>312.10000000000002</v>
      </c>
    </row>
    <row r="39" spans="1:6" x14ac:dyDescent="0.3">
      <c r="A39" s="129"/>
      <c r="B39" s="129"/>
      <c r="C39" s="129"/>
    </row>
    <row r="40" spans="1:6" x14ac:dyDescent="0.3">
      <c r="A40" t="s">
        <v>442</v>
      </c>
    </row>
    <row r="41" spans="1:6" ht="34.5" customHeight="1" x14ac:dyDescent="0.3">
      <c r="A41" s="127" t="s">
        <v>61</v>
      </c>
      <c r="B41" s="127" t="s">
        <v>202</v>
      </c>
      <c r="C41" s="127" t="s">
        <v>203</v>
      </c>
      <c r="D41" s="127" t="s">
        <v>209</v>
      </c>
      <c r="E41" s="127" t="s">
        <v>210</v>
      </c>
      <c r="F41" s="127" t="s">
        <v>211</v>
      </c>
    </row>
    <row r="42" spans="1:6" x14ac:dyDescent="0.3">
      <c r="A42" s="128">
        <v>1</v>
      </c>
      <c r="B42" s="128">
        <v>2.2999999999999998</v>
      </c>
      <c r="C42" s="128">
        <v>8.5</v>
      </c>
      <c r="D42" s="128">
        <f>B42+C42</f>
        <v>10.8</v>
      </c>
      <c r="E42" s="130" t="s">
        <v>152</v>
      </c>
      <c r="F42" s="130" t="s">
        <v>152</v>
      </c>
    </row>
    <row r="43" spans="1:6" x14ac:dyDescent="0.3">
      <c r="A43" s="128">
        <v>2</v>
      </c>
      <c r="B43" s="128">
        <v>4.5999999999999996</v>
      </c>
      <c r="C43" s="128">
        <v>17.2</v>
      </c>
      <c r="D43" s="128">
        <f t="shared" ref="D43:D49" si="0">B43+C43</f>
        <v>21.799999999999997</v>
      </c>
      <c r="E43" s="130" t="s">
        <v>152</v>
      </c>
      <c r="F43" s="130" t="s">
        <v>152</v>
      </c>
    </row>
    <row r="44" spans="1:6" x14ac:dyDescent="0.3">
      <c r="A44" s="128">
        <v>3</v>
      </c>
      <c r="B44" s="128">
        <v>7</v>
      </c>
      <c r="C44" s="128">
        <v>25.8</v>
      </c>
      <c r="D44" s="128">
        <f t="shared" si="0"/>
        <v>32.799999999999997</v>
      </c>
      <c r="E44" s="130" t="s">
        <v>152</v>
      </c>
      <c r="F44" s="130" t="s">
        <v>152</v>
      </c>
    </row>
    <row r="45" spans="1:6" x14ac:dyDescent="0.3">
      <c r="A45" s="128">
        <v>4</v>
      </c>
      <c r="B45" s="128">
        <v>9.4</v>
      </c>
      <c r="C45" s="128">
        <v>34.5</v>
      </c>
      <c r="D45" s="128">
        <f t="shared" si="0"/>
        <v>43.9</v>
      </c>
      <c r="E45" s="130" t="s">
        <v>152</v>
      </c>
      <c r="F45" s="130" t="s">
        <v>152</v>
      </c>
    </row>
    <row r="46" spans="1:6" x14ac:dyDescent="0.3">
      <c r="A46" s="128">
        <v>5</v>
      </c>
      <c r="B46" s="128">
        <v>11.8</v>
      </c>
      <c r="C46" s="128">
        <v>43.3</v>
      </c>
      <c r="D46" s="128">
        <f>B46+C46</f>
        <v>55.099999999999994</v>
      </c>
      <c r="E46" s="131">
        <f>D46*$A$53</f>
        <v>24992.939586999997</v>
      </c>
      <c r="F46" s="132">
        <f>E46/1000000</f>
        <v>2.4992939586999996E-2</v>
      </c>
    </row>
    <row r="47" spans="1:6" x14ac:dyDescent="0.3">
      <c r="A47" s="128">
        <v>15</v>
      </c>
      <c r="B47" s="128">
        <v>47.5</v>
      </c>
      <c r="C47" s="128">
        <v>174.3</v>
      </c>
      <c r="D47" s="128">
        <f t="shared" si="0"/>
        <v>221.8</v>
      </c>
      <c r="E47" s="130" t="s">
        <v>152</v>
      </c>
      <c r="F47" s="130" t="s">
        <v>152</v>
      </c>
    </row>
    <row r="48" spans="1:6" x14ac:dyDescent="0.3">
      <c r="A48" s="128">
        <v>20</v>
      </c>
      <c r="B48" s="128">
        <f>SUM(B42:B46)+B47</f>
        <v>82.6</v>
      </c>
      <c r="C48" s="128">
        <f>SUM(C42:C46)+C47</f>
        <v>303.60000000000002</v>
      </c>
      <c r="D48" s="128">
        <f t="shared" si="0"/>
        <v>386.20000000000005</v>
      </c>
      <c r="E48" s="130" t="s">
        <v>152</v>
      </c>
      <c r="F48" s="130" t="s">
        <v>152</v>
      </c>
    </row>
    <row r="49" spans="1:6" x14ac:dyDescent="0.3">
      <c r="A49" s="128">
        <v>2050</v>
      </c>
      <c r="B49" s="128">
        <f>B48+B42</f>
        <v>84.899999999999991</v>
      </c>
      <c r="C49" s="128">
        <f>C48+C42</f>
        <v>312.10000000000002</v>
      </c>
      <c r="D49" s="128">
        <f t="shared" si="0"/>
        <v>397</v>
      </c>
      <c r="E49" s="131">
        <f>D49*$A$53</f>
        <v>180076.17089000001</v>
      </c>
      <c r="F49" s="132">
        <f t="shared" ref="F49" si="1">E49/1000000</f>
        <v>0.18007617089</v>
      </c>
    </row>
    <row r="50" spans="1:6" ht="78" customHeight="1" x14ac:dyDescent="0.3">
      <c r="A50" s="299" t="s">
        <v>213</v>
      </c>
      <c r="B50" s="299"/>
      <c r="C50" s="299"/>
      <c r="D50" s="299"/>
      <c r="E50" s="299"/>
      <c r="F50" s="299"/>
    </row>
    <row r="52" spans="1:6" x14ac:dyDescent="0.3">
      <c r="A52" t="s">
        <v>208</v>
      </c>
    </row>
    <row r="53" spans="1:6" x14ac:dyDescent="0.3">
      <c r="A53" s="129">
        <v>453.59237000000002</v>
      </c>
      <c r="B53" t="s">
        <v>207</v>
      </c>
    </row>
    <row r="55" spans="1:6" x14ac:dyDescent="0.3">
      <c r="A55" t="s">
        <v>212</v>
      </c>
    </row>
    <row r="56" spans="1:6" ht="27.6" x14ac:dyDescent="0.3">
      <c r="A56" s="127" t="s">
        <v>61</v>
      </c>
      <c r="B56" s="127" t="s">
        <v>214</v>
      </c>
      <c r="C56" s="127" t="s">
        <v>215</v>
      </c>
    </row>
    <row r="57" spans="1:6" x14ac:dyDescent="0.3">
      <c r="A57" s="128">
        <v>2030</v>
      </c>
      <c r="B57" s="132">
        <f>F46</f>
        <v>2.4992939586999996E-2</v>
      </c>
      <c r="C57" s="19">
        <f>B57/0.25</f>
        <v>9.9971758347999984E-2</v>
      </c>
    </row>
    <row r="58" spans="1:6" x14ac:dyDescent="0.3">
      <c r="A58" s="128">
        <v>2050</v>
      </c>
      <c r="B58" s="132">
        <f>F49</f>
        <v>0.18007617089</v>
      </c>
      <c r="C58" s="19">
        <f>B58/0.25</f>
        <v>0.72030468355999999</v>
      </c>
    </row>
    <row r="60" spans="1:6" x14ac:dyDescent="0.3">
      <c r="A60" s="135" t="s">
        <v>216</v>
      </c>
    </row>
    <row r="61" spans="1:6" x14ac:dyDescent="0.3">
      <c r="A61" s="134" t="s">
        <v>217</v>
      </c>
    </row>
    <row r="62" spans="1:6" x14ac:dyDescent="0.3">
      <c r="A62" s="134" t="s">
        <v>218</v>
      </c>
    </row>
  </sheetData>
  <mergeCells count="6">
    <mergeCell ref="A23:E23"/>
    <mergeCell ref="A50:F50"/>
    <mergeCell ref="A13:B15"/>
    <mergeCell ref="C13:D13"/>
    <mergeCell ref="C14:D14"/>
    <mergeCell ref="A16:B16"/>
  </mergeCells>
  <pageMargins left="0.7" right="0.7" top="0.75" bottom="0.75" header="0.3" footer="0.3"/>
  <pageSetup scale="96" orientation="landscape" r:id="rId1"/>
  <rowBreaks count="2" manualBreakCount="2">
    <brk id="26" max="16383" man="1"/>
    <brk id="5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1B685-D1FC-4001-AC80-15DDC91B96B5}">
  <dimension ref="A1:J73"/>
  <sheetViews>
    <sheetView view="pageBreakPreview" topLeftCell="A36" zoomScaleNormal="100" zoomScaleSheetLayoutView="100" workbookViewId="0">
      <selection activeCell="A6" sqref="A6:F16"/>
    </sheetView>
  </sheetViews>
  <sheetFormatPr defaultRowHeight="14.4" x14ac:dyDescent="0.3"/>
  <cols>
    <col min="1" max="1" width="15" customWidth="1"/>
    <col min="2" max="2" width="14.109375" style="67" customWidth="1"/>
    <col min="3" max="3" width="28" style="67" customWidth="1"/>
    <col min="4" max="4" width="22" style="67" customWidth="1"/>
    <col min="5" max="5" width="18.109375" style="67" customWidth="1"/>
    <col min="6" max="6" width="14" customWidth="1"/>
    <col min="7" max="7" width="9.88671875" bestFit="1" customWidth="1"/>
    <col min="10" max="10" width="12" bestFit="1" customWidth="1"/>
    <col min="11" max="12" width="11" bestFit="1" customWidth="1"/>
    <col min="20" max="20" width="12.44140625" bestFit="1" customWidth="1"/>
  </cols>
  <sheetData>
    <row r="1" spans="1:6" x14ac:dyDescent="0.3">
      <c r="A1" s="1" t="s">
        <v>0</v>
      </c>
    </row>
    <row r="2" spans="1:6" x14ac:dyDescent="0.3">
      <c r="A2" s="1" t="s">
        <v>421</v>
      </c>
    </row>
    <row r="3" spans="1:6" x14ac:dyDescent="0.3">
      <c r="A3" s="1" t="s">
        <v>420</v>
      </c>
    </row>
    <row r="5" spans="1:6" x14ac:dyDescent="0.3">
      <c r="A5" s="1" t="s">
        <v>1</v>
      </c>
      <c r="B5" s="76" t="s">
        <v>85</v>
      </c>
    </row>
    <row r="7" spans="1:6" x14ac:dyDescent="0.3">
      <c r="A7" s="1" t="s">
        <v>8</v>
      </c>
    </row>
    <row r="8" spans="1:6" x14ac:dyDescent="0.3">
      <c r="A8" t="s">
        <v>329</v>
      </c>
    </row>
    <row r="9" spans="1:6" x14ac:dyDescent="0.3">
      <c r="C9" s="237">
        <v>8215955</v>
      </c>
      <c r="F9" s="233"/>
    </row>
    <row r="10" spans="1:6" ht="15.6" x14ac:dyDescent="0.3">
      <c r="A10" s="114" t="s">
        <v>182</v>
      </c>
      <c r="B10" s="1"/>
      <c r="C10" s="237">
        <v>9737193</v>
      </c>
      <c r="D10"/>
      <c r="E10"/>
      <c r="F10" s="233"/>
    </row>
    <row r="11" spans="1:6" x14ac:dyDescent="0.3">
      <c r="A11" s="1"/>
      <c r="B11" s="1"/>
      <c r="C11" s="237">
        <v>9816744</v>
      </c>
      <c r="D11"/>
      <c r="E11"/>
      <c r="F11" s="233"/>
    </row>
    <row r="12" spans="1:6" ht="34.5" customHeight="1" x14ac:dyDescent="0.3">
      <c r="A12" s="286" t="s">
        <v>56</v>
      </c>
      <c r="B12" s="286"/>
      <c r="C12" s="285"/>
      <c r="D12" s="286" t="s">
        <v>57</v>
      </c>
      <c r="E12" s="286"/>
      <c r="F12" s="242" t="s">
        <v>183</v>
      </c>
    </row>
    <row r="13" spans="1:6" ht="15.6" x14ac:dyDescent="0.3">
      <c r="A13" s="286"/>
      <c r="B13" s="286"/>
      <c r="C13" s="285"/>
      <c r="D13" s="286" t="s">
        <v>184</v>
      </c>
      <c r="E13" s="286"/>
      <c r="F13" s="243" t="s">
        <v>185</v>
      </c>
    </row>
    <row r="14" spans="1:6" x14ac:dyDescent="0.3">
      <c r="A14" s="286"/>
      <c r="B14" s="286"/>
      <c r="C14" s="285"/>
      <c r="D14" s="115" t="s">
        <v>58</v>
      </c>
      <c r="E14" s="115" t="s">
        <v>59</v>
      </c>
      <c r="F14" s="244" t="s">
        <v>186</v>
      </c>
    </row>
    <row r="15" spans="1:6" ht="15" customHeight="1" x14ac:dyDescent="0.3">
      <c r="A15" s="301" t="s">
        <v>85</v>
      </c>
      <c r="B15" s="301"/>
      <c r="C15" s="302"/>
      <c r="D15" s="49">
        <f>D72</f>
        <v>1.5695207684999999</v>
      </c>
      <c r="E15" s="48">
        <f>E72</f>
        <v>12.0329925585</v>
      </c>
      <c r="F15" s="245">
        <f>B17/(D15*1000000)</f>
        <v>6.2546123613145435</v>
      </c>
    </row>
    <row r="16" spans="1:6" x14ac:dyDescent="0.3">
      <c r="A16" s="1"/>
      <c r="B16" s="1"/>
      <c r="C16" s="253"/>
      <c r="D16" s="1"/>
      <c r="E16" s="1"/>
      <c r="F16" s="254"/>
    </row>
    <row r="17" spans="1:9" x14ac:dyDescent="0.3">
      <c r="A17" s="1" t="s">
        <v>193</v>
      </c>
      <c r="B17" s="156">
        <f>Summary!C11</f>
        <v>9816744</v>
      </c>
      <c r="C17"/>
      <c r="D17"/>
      <c r="E17"/>
    </row>
    <row r="18" spans="1:9" x14ac:dyDescent="0.3">
      <c r="B18"/>
      <c r="C18"/>
      <c r="D18"/>
      <c r="E18"/>
    </row>
    <row r="19" spans="1:9" x14ac:dyDescent="0.3">
      <c r="A19" s="1" t="s">
        <v>2</v>
      </c>
      <c r="B19"/>
      <c r="C19"/>
      <c r="D19"/>
      <c r="E19"/>
    </row>
    <row r="20" spans="1:9" ht="60" customHeight="1" x14ac:dyDescent="0.3">
      <c r="A20" s="298" t="s">
        <v>433</v>
      </c>
      <c r="B20" s="298"/>
      <c r="C20" s="298"/>
      <c r="D20" s="298"/>
      <c r="E20" s="298"/>
      <c r="F20" s="298"/>
      <c r="G20" s="298"/>
      <c r="H20" s="298"/>
    </row>
    <row r="21" spans="1:9" ht="48" customHeight="1" x14ac:dyDescent="0.3">
      <c r="A21" s="298" t="s">
        <v>330</v>
      </c>
      <c r="B21" s="298"/>
      <c r="C21" s="298"/>
      <c r="D21" s="298"/>
      <c r="E21" s="298"/>
      <c r="F21" s="298"/>
      <c r="G21" s="298"/>
      <c r="H21" s="298"/>
    </row>
    <row r="23" spans="1:9" ht="33" customHeight="1" x14ac:dyDescent="0.3">
      <c r="A23" s="298" t="s">
        <v>234</v>
      </c>
      <c r="B23" s="298"/>
      <c r="C23" s="298"/>
      <c r="D23" s="298"/>
      <c r="E23" s="298"/>
      <c r="F23" s="298"/>
      <c r="G23" s="298"/>
      <c r="H23" s="298"/>
    </row>
    <row r="24" spans="1:9" x14ac:dyDescent="0.3">
      <c r="G24" s="67"/>
      <c r="I24" s="67"/>
    </row>
    <row r="25" spans="1:9" x14ac:dyDescent="0.3">
      <c r="A25" s="5" t="s">
        <v>137</v>
      </c>
      <c r="G25" s="63"/>
      <c r="I25" s="62"/>
    </row>
    <row r="26" spans="1:9" x14ac:dyDescent="0.3">
      <c r="G26" s="63"/>
      <c r="I26" s="62"/>
    </row>
    <row r="27" spans="1:9" x14ac:dyDescent="0.3">
      <c r="A27" t="s">
        <v>334</v>
      </c>
      <c r="G27" s="63"/>
      <c r="I27" s="62"/>
    </row>
    <row r="28" spans="1:9" x14ac:dyDescent="0.3">
      <c r="A28" t="s">
        <v>338</v>
      </c>
      <c r="G28" s="63"/>
      <c r="I28" s="62"/>
    </row>
    <row r="29" spans="1:9" x14ac:dyDescent="0.3">
      <c r="A29" t="s">
        <v>331</v>
      </c>
      <c r="B29" s="67">
        <v>6.8</v>
      </c>
      <c r="C29" s="67" t="s">
        <v>235</v>
      </c>
      <c r="G29" s="63"/>
      <c r="I29" s="62"/>
    </row>
    <row r="30" spans="1:9" x14ac:dyDescent="0.3">
      <c r="A30" t="s">
        <v>332</v>
      </c>
      <c r="B30" s="67">
        <f>AVERAGE(B29,B31)</f>
        <v>7.9</v>
      </c>
      <c r="C30" s="67" t="s">
        <v>235</v>
      </c>
    </row>
    <row r="31" spans="1:9" x14ac:dyDescent="0.3">
      <c r="A31" t="s">
        <v>333</v>
      </c>
      <c r="B31" s="67">
        <v>9</v>
      </c>
      <c r="C31" s="67" t="s">
        <v>235</v>
      </c>
      <c r="D31"/>
      <c r="E31"/>
    </row>
    <row r="32" spans="1:9" x14ac:dyDescent="0.3">
      <c r="D32"/>
      <c r="E32"/>
    </row>
    <row r="33" spans="1:10" x14ac:dyDescent="0.3">
      <c r="A33" t="s">
        <v>335</v>
      </c>
      <c r="D33"/>
      <c r="E33"/>
    </row>
    <row r="34" spans="1:10" x14ac:dyDescent="0.3">
      <c r="A34" t="s">
        <v>336</v>
      </c>
      <c r="B34" t="s">
        <v>347</v>
      </c>
      <c r="D34"/>
      <c r="E34"/>
    </row>
    <row r="35" spans="1:10" x14ac:dyDescent="0.3">
      <c r="A35" t="s">
        <v>337</v>
      </c>
      <c r="B35" s="67" t="s">
        <v>136</v>
      </c>
      <c r="D35"/>
      <c r="E35"/>
    </row>
    <row r="36" spans="1:10" x14ac:dyDescent="0.3">
      <c r="A36" t="s">
        <v>339</v>
      </c>
      <c r="B36" s="29">
        <v>0.54</v>
      </c>
      <c r="C36"/>
      <c r="D36"/>
      <c r="E36"/>
    </row>
    <row r="37" spans="1:10" x14ac:dyDescent="0.3">
      <c r="A37" t="s">
        <v>340</v>
      </c>
      <c r="B37">
        <v>21.5</v>
      </c>
      <c r="C37" t="s">
        <v>341</v>
      </c>
      <c r="D37"/>
      <c r="E37"/>
      <c r="G37" s="29"/>
    </row>
    <row r="38" spans="1:10" x14ac:dyDescent="0.3">
      <c r="B38"/>
      <c r="C38"/>
      <c r="D38"/>
      <c r="E38"/>
    </row>
    <row r="39" spans="1:10" x14ac:dyDescent="0.3">
      <c r="A39" t="s">
        <v>342</v>
      </c>
      <c r="B39"/>
      <c r="C39"/>
      <c r="D39"/>
      <c r="E39"/>
    </row>
    <row r="40" spans="1:10" x14ac:dyDescent="0.3">
      <c r="A40" t="s">
        <v>343</v>
      </c>
      <c r="B40"/>
      <c r="C40"/>
      <c r="D40"/>
      <c r="E40"/>
    </row>
    <row r="41" spans="1:10" x14ac:dyDescent="0.3">
      <c r="A41">
        <v>1.2</v>
      </c>
      <c r="B41" t="s">
        <v>418</v>
      </c>
      <c r="C41" s="199"/>
      <c r="D41" s="199"/>
      <c r="E41" s="199"/>
      <c r="F41" s="199"/>
      <c r="G41" s="199"/>
      <c r="H41" s="199"/>
      <c r="I41" s="199"/>
      <c r="J41" s="199"/>
    </row>
    <row r="42" spans="1:10" x14ac:dyDescent="0.3">
      <c r="A42">
        <v>5.5</v>
      </c>
      <c r="B42" t="s">
        <v>231</v>
      </c>
      <c r="C42" s="199"/>
      <c r="D42" s="199"/>
      <c r="E42" s="199"/>
      <c r="F42" s="199"/>
      <c r="G42" s="199"/>
      <c r="H42" s="199"/>
      <c r="I42" s="199"/>
      <c r="J42" s="199"/>
    </row>
    <row r="43" spans="1:10" x14ac:dyDescent="0.3">
      <c r="A43">
        <v>907185</v>
      </c>
      <c r="B43" t="s">
        <v>236</v>
      </c>
      <c r="C43" s="199"/>
      <c r="D43" s="199"/>
      <c r="E43" s="199"/>
      <c r="F43" s="199"/>
      <c r="G43" s="199"/>
      <c r="H43" s="199"/>
      <c r="I43" s="199"/>
      <c r="J43" s="199"/>
    </row>
    <row r="44" spans="1:10" x14ac:dyDescent="0.3">
      <c r="A44" s="94">
        <f>A42/A43</f>
        <v>6.0627104725056078E-6</v>
      </c>
      <c r="B44" t="s">
        <v>237</v>
      </c>
      <c r="C44"/>
      <c r="D44"/>
      <c r="E44"/>
    </row>
    <row r="45" spans="1:10" x14ac:dyDescent="0.3">
      <c r="A45" s="15">
        <f>A41/A44</f>
        <v>197931.27272727274</v>
      </c>
      <c r="B45" t="s">
        <v>232</v>
      </c>
      <c r="C45"/>
      <c r="D45"/>
      <c r="E45"/>
    </row>
    <row r="46" spans="1:10" x14ac:dyDescent="0.3">
      <c r="A46" s="15">
        <v>4046.86</v>
      </c>
      <c r="B46" t="s">
        <v>238</v>
      </c>
      <c r="C46"/>
      <c r="D46"/>
      <c r="E46"/>
    </row>
    <row r="47" spans="1:10" x14ac:dyDescent="0.3">
      <c r="A47" s="15">
        <f>A45/A46</f>
        <v>48.909839413093792</v>
      </c>
      <c r="B47" t="s">
        <v>344</v>
      </c>
    </row>
    <row r="49" spans="1:8" x14ac:dyDescent="0.3">
      <c r="A49" t="s">
        <v>345</v>
      </c>
    </row>
    <row r="50" spans="1:8" x14ac:dyDescent="0.3">
      <c r="A50" s="54">
        <f>B30/A47</f>
        <v>0.16152169164319663</v>
      </c>
      <c r="B50" s="47" t="s">
        <v>346</v>
      </c>
    </row>
    <row r="52" spans="1:8" x14ac:dyDescent="0.3">
      <c r="A52" s="5" t="s">
        <v>9</v>
      </c>
    </row>
    <row r="53" spans="1:8" ht="30.75" customHeight="1" x14ac:dyDescent="0.3">
      <c r="A53" s="298" t="s">
        <v>348</v>
      </c>
      <c r="B53" s="298"/>
      <c r="C53" s="298"/>
      <c r="D53" s="298"/>
      <c r="E53" s="298"/>
      <c r="F53" s="298"/>
      <c r="G53" s="298"/>
      <c r="H53" s="298"/>
    </row>
    <row r="54" spans="1:8" x14ac:dyDescent="0.3">
      <c r="A54" t="s">
        <v>354</v>
      </c>
    </row>
    <row r="55" spans="1:8" x14ac:dyDescent="0.3">
      <c r="A55" s="10">
        <f>B30</f>
        <v>7.9</v>
      </c>
      <c r="B55" s="47" t="s">
        <v>349</v>
      </c>
    </row>
    <row r="56" spans="1:8" x14ac:dyDescent="0.3">
      <c r="A56" s="10">
        <v>365</v>
      </c>
      <c r="B56" s="67" t="s">
        <v>350</v>
      </c>
      <c r="D56" s="95"/>
    </row>
    <row r="57" spans="1:8" x14ac:dyDescent="0.3">
      <c r="A57" s="200">
        <f>A55*A56</f>
        <v>2883.5</v>
      </c>
      <c r="B57" s="47" t="s">
        <v>271</v>
      </c>
      <c r="D57" s="95"/>
    </row>
    <row r="58" spans="1:8" x14ac:dyDescent="0.3">
      <c r="A58" s="201">
        <f>A57*0.907185</f>
        <v>2615.8679474999999</v>
      </c>
      <c r="B58" s="47" t="s">
        <v>351</v>
      </c>
      <c r="D58" s="95"/>
    </row>
    <row r="59" spans="1:8" x14ac:dyDescent="0.3">
      <c r="A59" s="201">
        <f>A47</f>
        <v>48.909839413093792</v>
      </c>
      <c r="B59" s="47" t="s">
        <v>79</v>
      </c>
      <c r="D59" s="95"/>
    </row>
    <row r="60" spans="1:8" x14ac:dyDescent="0.3">
      <c r="A60" s="201"/>
      <c r="B60" s="47"/>
      <c r="D60" s="95"/>
    </row>
    <row r="61" spans="1:8" x14ac:dyDescent="0.3">
      <c r="A61" s="201" t="s">
        <v>355</v>
      </c>
      <c r="B61" s="47"/>
      <c r="D61" s="95"/>
    </row>
    <row r="62" spans="1:8" x14ac:dyDescent="0.3">
      <c r="A62" s="201">
        <v>200</v>
      </c>
      <c r="B62" s="47" t="s">
        <v>356</v>
      </c>
      <c r="D62" s="95"/>
    </row>
    <row r="63" spans="1:8" x14ac:dyDescent="0.3">
      <c r="A63" s="201">
        <f>A62/5</f>
        <v>40</v>
      </c>
      <c r="B63" s="47" t="s">
        <v>352</v>
      </c>
      <c r="D63" s="95"/>
    </row>
    <row r="64" spans="1:8" x14ac:dyDescent="0.3">
      <c r="A64" s="94"/>
      <c r="D64" s="96"/>
    </row>
    <row r="65" spans="1:5" ht="15" thickBot="1" x14ac:dyDescent="0.35">
      <c r="A65" s="139" t="s">
        <v>279</v>
      </c>
      <c r="B65"/>
      <c r="C65"/>
      <c r="D65"/>
      <c r="E65"/>
    </row>
    <row r="66" spans="1:5" ht="44.4" thickTop="1" thickBot="1" x14ac:dyDescent="0.35">
      <c r="A66" s="174" t="s">
        <v>228</v>
      </c>
      <c r="B66" s="175" t="s">
        <v>353</v>
      </c>
      <c r="C66" s="142" t="s">
        <v>53</v>
      </c>
      <c r="D66" s="143" t="s">
        <v>357</v>
      </c>
      <c r="E66" s="144" t="s">
        <v>60</v>
      </c>
    </row>
    <row r="67" spans="1:5" ht="15" thickTop="1" x14ac:dyDescent="0.3">
      <c r="A67" s="177">
        <v>1</v>
      </c>
      <c r="B67" s="202">
        <f>A63</f>
        <v>40</v>
      </c>
      <c r="C67" s="203">
        <f>$A$58*B67/1000000</f>
        <v>0.10463471789999999</v>
      </c>
      <c r="D67" s="150" t="s">
        <v>152</v>
      </c>
      <c r="E67" s="151" t="s">
        <v>152</v>
      </c>
    </row>
    <row r="68" spans="1:5" x14ac:dyDescent="0.3">
      <c r="A68" s="180">
        <v>2</v>
      </c>
      <c r="B68" s="112">
        <f>B67+40</f>
        <v>80</v>
      </c>
      <c r="C68" s="204">
        <f>$A$58*B68/1000000</f>
        <v>0.20926943579999999</v>
      </c>
      <c r="D68" s="148" t="s">
        <v>152</v>
      </c>
      <c r="E68" s="153" t="s">
        <v>152</v>
      </c>
    </row>
    <row r="69" spans="1:5" x14ac:dyDescent="0.3">
      <c r="A69" s="180">
        <v>3</v>
      </c>
      <c r="B69" s="112">
        <f>B68+40</f>
        <v>120</v>
      </c>
      <c r="C69" s="204">
        <f t="shared" ref="C69:C71" si="0">$A$58*B69/1000000</f>
        <v>0.31390415369999997</v>
      </c>
      <c r="D69" s="148" t="s">
        <v>152</v>
      </c>
      <c r="E69" s="153" t="s">
        <v>152</v>
      </c>
    </row>
    <row r="70" spans="1:5" x14ac:dyDescent="0.3">
      <c r="A70" s="180">
        <v>4</v>
      </c>
      <c r="B70" s="112">
        <f>B69+40</f>
        <v>160</v>
      </c>
      <c r="C70" s="204">
        <f t="shared" si="0"/>
        <v>0.41853887159999997</v>
      </c>
      <c r="D70" s="148" t="s">
        <v>152</v>
      </c>
      <c r="E70" s="153" t="s">
        <v>152</v>
      </c>
    </row>
    <row r="71" spans="1:5" x14ac:dyDescent="0.3">
      <c r="A71" s="180">
        <v>5</v>
      </c>
      <c r="B71" s="112">
        <f>B70+40</f>
        <v>200</v>
      </c>
      <c r="C71" s="204">
        <f t="shared" si="0"/>
        <v>0.52317358950000004</v>
      </c>
      <c r="D71" s="148" t="s">
        <v>152</v>
      </c>
      <c r="E71" s="153" t="s">
        <v>152</v>
      </c>
    </row>
    <row r="72" spans="1:5" ht="15" thickBot="1" x14ac:dyDescent="0.35">
      <c r="A72" s="27" t="s">
        <v>3</v>
      </c>
      <c r="B72" s="141">
        <f>B71</f>
        <v>200</v>
      </c>
      <c r="C72" s="181" t="s">
        <v>152</v>
      </c>
      <c r="D72" s="41">
        <f>SUM(C67:C71)</f>
        <v>1.5695207684999999</v>
      </c>
      <c r="E72" s="45">
        <f>D72+(C71*20)</f>
        <v>12.0329925585</v>
      </c>
    </row>
    <row r="73" spans="1:5" ht="15" thickTop="1" x14ac:dyDescent="0.3">
      <c r="A73" t="s">
        <v>358</v>
      </c>
    </row>
  </sheetData>
  <mergeCells count="8">
    <mergeCell ref="A53:H53"/>
    <mergeCell ref="A12:C14"/>
    <mergeCell ref="D12:E12"/>
    <mergeCell ref="D13:E13"/>
    <mergeCell ref="A15:C15"/>
    <mergeCell ref="A20:H20"/>
    <mergeCell ref="A21:H21"/>
    <mergeCell ref="A23:H23"/>
  </mergeCells>
  <pageMargins left="0.7" right="0.7" top="0.75" bottom="0.75" header="0.3" footer="0.3"/>
  <pageSetup scale="93" orientation="landscape" r:id="rId1"/>
  <rowBreaks count="2" manualBreakCount="2">
    <brk id="24" max="16383" man="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6CBB-A45A-4AE0-B69C-AE560F10DCBB}">
  <dimension ref="A1:AC103"/>
  <sheetViews>
    <sheetView view="pageBreakPreview" topLeftCell="F72" zoomScaleNormal="98" zoomScaleSheetLayoutView="100" workbookViewId="0">
      <selection activeCell="A6" sqref="A6:F16"/>
    </sheetView>
  </sheetViews>
  <sheetFormatPr defaultRowHeight="14.4" x14ac:dyDescent="0.3"/>
  <cols>
    <col min="1" max="1" width="29.33203125" customWidth="1"/>
    <col min="2" max="2" width="14.33203125" bestFit="1" customWidth="1"/>
    <col min="3" max="3" width="16" customWidth="1"/>
    <col min="4" max="4" width="13.44140625" customWidth="1"/>
    <col min="5" max="5" width="16.44140625" customWidth="1"/>
    <col min="6" max="6" width="12.6640625" customWidth="1"/>
    <col min="7" max="7" width="17.33203125" customWidth="1"/>
    <col min="8" max="9" width="13.33203125" customWidth="1"/>
    <col min="10" max="10" width="15.5546875" customWidth="1"/>
    <col min="11" max="11" width="15.109375" customWidth="1"/>
    <col min="12" max="12" width="19.109375" customWidth="1"/>
    <col min="13" max="13" width="25" customWidth="1"/>
    <col min="14" max="14" width="29.5546875" style="68" customWidth="1"/>
    <col min="15" max="15" width="19.88671875" customWidth="1"/>
    <col min="16" max="16" width="19.6640625" customWidth="1"/>
    <col min="17" max="17" width="16.6640625" bestFit="1" customWidth="1"/>
    <col min="18" max="18" width="16.6640625" customWidth="1"/>
    <col min="21" max="21" width="11.109375" customWidth="1"/>
    <col min="22" max="22" width="11.88671875" customWidth="1"/>
    <col min="24" max="24" width="17.33203125" customWidth="1"/>
    <col min="25" max="25" width="12.5546875" customWidth="1"/>
    <col min="26" max="26" width="34.6640625" customWidth="1"/>
    <col min="27" max="27" width="46.109375" customWidth="1"/>
    <col min="28" max="28" width="13.5546875" customWidth="1"/>
    <col min="29" max="29" width="29.88671875" customWidth="1"/>
  </cols>
  <sheetData>
    <row r="1" spans="1:10" x14ac:dyDescent="0.3">
      <c r="A1" s="1" t="s">
        <v>0</v>
      </c>
    </row>
    <row r="2" spans="1:10" x14ac:dyDescent="0.3">
      <c r="A2" s="1" t="s">
        <v>421</v>
      </c>
    </row>
    <row r="3" spans="1:10" x14ac:dyDescent="0.3">
      <c r="A3" s="1" t="s">
        <v>420</v>
      </c>
    </row>
    <row r="5" spans="1:10" x14ac:dyDescent="0.3">
      <c r="A5" s="1" t="s">
        <v>1</v>
      </c>
      <c r="B5" s="1" t="s">
        <v>88</v>
      </c>
    </row>
    <row r="7" spans="1:10" x14ac:dyDescent="0.3">
      <c r="A7" s="1" t="s">
        <v>8</v>
      </c>
    </row>
    <row r="8" spans="1:10" x14ac:dyDescent="0.3">
      <c r="A8" t="s">
        <v>268</v>
      </c>
    </row>
    <row r="9" spans="1:10" ht="37.5" customHeight="1" x14ac:dyDescent="0.3">
      <c r="A9" s="298" t="s">
        <v>83</v>
      </c>
      <c r="B9" s="298"/>
      <c r="C9" s="305"/>
      <c r="D9" s="298"/>
      <c r="E9" s="298"/>
      <c r="F9" s="306"/>
      <c r="G9" s="298"/>
      <c r="H9" s="298"/>
      <c r="I9" s="298"/>
      <c r="J9" s="298"/>
    </row>
    <row r="10" spans="1:10" ht="33" customHeight="1" x14ac:dyDescent="0.3">
      <c r="A10" s="298" t="s">
        <v>269</v>
      </c>
      <c r="B10" s="298"/>
      <c r="C10" s="305"/>
      <c r="D10" s="298"/>
      <c r="E10" s="298"/>
      <c r="F10" s="306"/>
      <c r="G10" s="298"/>
      <c r="H10" s="298"/>
      <c r="I10" s="298"/>
      <c r="J10" s="298"/>
    </row>
    <row r="11" spans="1:10" x14ac:dyDescent="0.3">
      <c r="C11" s="237">
        <v>9816744</v>
      </c>
      <c r="F11" s="233"/>
    </row>
    <row r="12" spans="1:10" ht="15.6" x14ac:dyDescent="0.3">
      <c r="A12" s="114" t="s">
        <v>182</v>
      </c>
      <c r="B12" s="1"/>
      <c r="C12" s="237"/>
      <c r="F12" s="233"/>
    </row>
    <row r="13" spans="1:10" x14ac:dyDescent="0.3">
      <c r="A13" s="1"/>
      <c r="B13" s="1"/>
      <c r="C13" s="237"/>
      <c r="F13" s="233"/>
    </row>
    <row r="14" spans="1:10" x14ac:dyDescent="0.3">
      <c r="A14" s="287" t="s">
        <v>56</v>
      </c>
      <c r="B14" s="288"/>
      <c r="C14" s="285" t="s">
        <v>57</v>
      </c>
      <c r="D14" s="286"/>
      <c r="E14" s="59" t="s">
        <v>183</v>
      </c>
      <c r="F14" s="233"/>
    </row>
    <row r="15" spans="1:10" ht="15.6" x14ac:dyDescent="0.3">
      <c r="A15" s="289"/>
      <c r="B15" s="290"/>
      <c r="C15" s="285" t="s">
        <v>184</v>
      </c>
      <c r="D15" s="286"/>
      <c r="E15" s="59" t="s">
        <v>185</v>
      </c>
      <c r="F15" s="233"/>
    </row>
    <row r="16" spans="1:10" x14ac:dyDescent="0.3">
      <c r="A16" s="291"/>
      <c r="B16" s="292"/>
      <c r="C16" s="238" t="s">
        <v>58</v>
      </c>
      <c r="D16" s="117" t="s">
        <v>59</v>
      </c>
      <c r="E16" s="59" t="s">
        <v>186</v>
      </c>
      <c r="F16" s="254"/>
    </row>
    <row r="17" spans="1:5" ht="28.5" customHeight="1" x14ac:dyDescent="0.3">
      <c r="A17" s="311" t="s">
        <v>88</v>
      </c>
      <c r="B17" s="311"/>
      <c r="C17" s="172">
        <f>D102</f>
        <v>8.2447526768476771E-5</v>
      </c>
      <c r="D17" s="172">
        <f>E102</f>
        <v>6.3209770522498852E-4</v>
      </c>
      <c r="E17" s="116">
        <f>B19/(C17*1000000)</f>
        <v>12128.926593615453</v>
      </c>
    </row>
    <row r="18" spans="1:5" x14ac:dyDescent="0.3">
      <c r="A18" s="1"/>
      <c r="B18" s="1"/>
    </row>
    <row r="19" spans="1:5" x14ac:dyDescent="0.3">
      <c r="A19" s="1" t="s">
        <v>193</v>
      </c>
      <c r="B19" s="156">
        <f>Summary!C12</f>
        <v>1000000</v>
      </c>
    </row>
    <row r="21" spans="1:5" x14ac:dyDescent="0.3">
      <c r="A21" s="1" t="s">
        <v>2</v>
      </c>
    </row>
    <row r="23" spans="1:5" x14ac:dyDescent="0.3">
      <c r="A23" s="5" t="s">
        <v>70</v>
      </c>
    </row>
    <row r="24" spans="1:5" x14ac:dyDescent="0.3">
      <c r="A24" s="69">
        <v>31556926</v>
      </c>
      <c r="B24" t="s">
        <v>240</v>
      </c>
    </row>
    <row r="25" spans="1:5" x14ac:dyDescent="0.3">
      <c r="A25">
        <v>28.32</v>
      </c>
      <c r="B25" t="s">
        <v>241</v>
      </c>
    </row>
    <row r="26" spans="1:5" x14ac:dyDescent="0.3">
      <c r="A26" s="69">
        <v>2446575.5499999998</v>
      </c>
      <c r="B26" t="s">
        <v>242</v>
      </c>
    </row>
    <row r="27" spans="1:5" x14ac:dyDescent="0.3">
      <c r="A27">
        <v>453592</v>
      </c>
      <c r="B27" t="s">
        <v>71</v>
      </c>
    </row>
    <row r="28" spans="1:5" x14ac:dyDescent="0.3">
      <c r="A28">
        <v>453591999.86862999</v>
      </c>
      <c r="B28" t="s">
        <v>72</v>
      </c>
    </row>
    <row r="29" spans="1:5" x14ac:dyDescent="0.3">
      <c r="A29">
        <v>0.55555560000000004</v>
      </c>
      <c r="B29" t="s">
        <v>243</v>
      </c>
    </row>
    <row r="30" spans="1:5" x14ac:dyDescent="0.3">
      <c r="A30">
        <v>44.01</v>
      </c>
      <c r="B30" t="s">
        <v>244</v>
      </c>
    </row>
    <row r="31" spans="1:5" ht="15.75" customHeight="1" x14ac:dyDescent="0.3"/>
    <row r="32" spans="1:5" ht="15.75" customHeight="1" x14ac:dyDescent="0.3">
      <c r="A32" s="5" t="s">
        <v>397</v>
      </c>
    </row>
    <row r="33" spans="1:14" ht="15.75" customHeight="1" x14ac:dyDescent="0.3"/>
    <row r="34" spans="1:14" ht="15.75" customHeight="1" x14ac:dyDescent="0.3">
      <c r="A34" s="159" t="s">
        <v>73</v>
      </c>
      <c r="B34" s="60" t="s">
        <v>245</v>
      </c>
      <c r="C34" s="60" t="s">
        <v>246</v>
      </c>
      <c r="D34" s="77" t="s">
        <v>249</v>
      </c>
      <c r="E34" s="211"/>
      <c r="G34" s="70"/>
      <c r="H34" s="70"/>
      <c r="I34" s="70"/>
      <c r="J34" s="70"/>
    </row>
    <row r="35" spans="1:14" ht="30" customHeight="1" x14ac:dyDescent="0.3">
      <c r="A35" s="160" t="s">
        <v>80</v>
      </c>
      <c r="B35" s="61">
        <v>38</v>
      </c>
      <c r="C35" s="19">
        <f>B35/365</f>
        <v>0.10410958904109589</v>
      </c>
      <c r="D35" s="87">
        <v>0.14399999999999999</v>
      </c>
      <c r="E35" s="212"/>
    </row>
    <row r="36" spans="1:14" ht="15.75" customHeight="1" x14ac:dyDescent="0.3">
      <c r="A36" s="111" t="s">
        <v>81</v>
      </c>
      <c r="B36" s="61">
        <v>109</v>
      </c>
      <c r="C36" s="19">
        <f>B36/365</f>
        <v>0.29863013698630136</v>
      </c>
      <c r="D36" s="87">
        <v>3.0499999999999999E-2</v>
      </c>
      <c r="E36" s="212"/>
    </row>
    <row r="37" spans="1:14" ht="15.75" customHeight="1" x14ac:dyDescent="0.3">
      <c r="A37" s="6" t="s">
        <v>82</v>
      </c>
      <c r="B37" s="61">
        <v>378</v>
      </c>
      <c r="C37" s="19">
        <f>B37/365</f>
        <v>1.0356164383561643</v>
      </c>
      <c r="D37" s="87">
        <v>1.57</v>
      </c>
      <c r="E37" s="212"/>
      <c r="G37" s="1"/>
      <c r="H37" s="1"/>
      <c r="I37" s="1"/>
      <c r="J37" s="1"/>
    </row>
    <row r="38" spans="1:14" ht="15.75" customHeight="1" x14ac:dyDescent="0.3">
      <c r="A38" s="9" t="s">
        <v>419</v>
      </c>
      <c r="B38" s="10"/>
      <c r="C38" s="171"/>
      <c r="D38" s="10"/>
      <c r="E38" s="171"/>
      <c r="G38" s="1"/>
      <c r="H38" s="1"/>
      <c r="I38" s="1"/>
      <c r="J38" s="1"/>
    </row>
    <row r="39" spans="1:14" ht="15.75" customHeight="1" x14ac:dyDescent="0.3">
      <c r="E39" s="161"/>
      <c r="F39" s="162"/>
      <c r="I39" s="161"/>
      <c r="J39" s="161"/>
    </row>
    <row r="40" spans="1:14" ht="15.75" customHeight="1" x14ac:dyDescent="0.3">
      <c r="A40" t="s">
        <v>400</v>
      </c>
      <c r="D40" s="213"/>
      <c r="E40" s="213"/>
      <c r="F40" s="213"/>
      <c r="G40" s="213"/>
      <c r="H40" s="213"/>
      <c r="L40" s="68"/>
      <c r="N40"/>
    </row>
    <row r="41" spans="1:14" ht="30.75" customHeight="1" x14ac:dyDescent="0.3">
      <c r="A41" s="159" t="s">
        <v>73</v>
      </c>
      <c r="B41" s="60" t="s">
        <v>250</v>
      </c>
      <c r="C41" s="60" t="s">
        <v>251</v>
      </c>
      <c r="D41" s="313" t="s">
        <v>398</v>
      </c>
      <c r="E41" s="314"/>
      <c r="F41" s="314"/>
      <c r="G41" s="165"/>
      <c r="H41" s="215"/>
      <c r="L41" s="68"/>
      <c r="N41"/>
    </row>
    <row r="42" spans="1:14" ht="35.25" customHeight="1" x14ac:dyDescent="0.3">
      <c r="A42" s="160" t="s">
        <v>80</v>
      </c>
      <c r="B42" s="19">
        <f>C35/(D35*5.4)</f>
        <v>0.13388578837589493</v>
      </c>
      <c r="C42" s="20">
        <f>B42*1000</f>
        <v>133.88578837589492</v>
      </c>
      <c r="D42" s="218">
        <f>0.15*(LOG(C42))+1.77</f>
        <v>2.0890101720363177</v>
      </c>
      <c r="E42" s="218">
        <f>10^D42</f>
        <v>122.74679805512197</v>
      </c>
      <c r="F42" s="218">
        <f>E42-100</f>
        <v>22.746798055121971</v>
      </c>
      <c r="G42" s="167"/>
      <c r="H42" s="171"/>
      <c r="L42" s="68"/>
      <c r="N42"/>
    </row>
    <row r="43" spans="1:14" ht="15.75" customHeight="1" x14ac:dyDescent="0.3">
      <c r="A43" s="111" t="s">
        <v>81</v>
      </c>
      <c r="B43" s="19">
        <f>C36/(D36*5.4)</f>
        <v>1.8131763022847682</v>
      </c>
      <c r="C43" s="20">
        <f t="shared" ref="C43:C44" si="0">B43*1000</f>
        <v>1813.1763022847683</v>
      </c>
      <c r="D43" s="218">
        <f>0.15*(LOG(C43))+1.77</f>
        <v>2.2587660051471592</v>
      </c>
      <c r="E43" s="218">
        <f>10^D43</f>
        <v>181.45377390066602</v>
      </c>
      <c r="F43" s="218">
        <f t="shared" ref="F43:F44" si="1">E43-100</f>
        <v>81.453773900666022</v>
      </c>
      <c r="G43" s="168"/>
      <c r="H43" s="171"/>
      <c r="L43" s="68"/>
      <c r="N43"/>
    </row>
    <row r="44" spans="1:14" ht="15.75" customHeight="1" x14ac:dyDescent="0.3">
      <c r="A44" s="6" t="s">
        <v>82</v>
      </c>
      <c r="B44" s="19">
        <f>C37/(D37*5.4)</f>
        <v>0.12215338975656571</v>
      </c>
      <c r="C44" s="20">
        <f t="shared" si="0"/>
        <v>122.15338975656572</v>
      </c>
      <c r="D44" s="218">
        <f>0.15*(LOG(C44))+1.77</f>
        <v>2.0830358284722821</v>
      </c>
      <c r="E44" s="218">
        <f>10^D44</f>
        <v>121.06980097235886</v>
      </c>
      <c r="F44" s="218">
        <f t="shared" si="1"/>
        <v>21.069800972358863</v>
      </c>
      <c r="G44" s="168"/>
      <c r="H44" s="171"/>
      <c r="L44" s="68"/>
      <c r="N44"/>
    </row>
    <row r="45" spans="1:14" ht="29.25" customHeight="1" x14ac:dyDescent="0.3">
      <c r="A45" s="312" t="s">
        <v>399</v>
      </c>
      <c r="B45" s="312"/>
      <c r="C45" s="312"/>
      <c r="D45" s="312"/>
      <c r="E45" s="312"/>
      <c r="F45" s="312"/>
      <c r="G45" s="214"/>
      <c r="H45" s="214"/>
      <c r="L45" s="68"/>
      <c r="N45"/>
    </row>
    <row r="46" spans="1:14" ht="15.75" customHeight="1" x14ac:dyDescent="0.3">
      <c r="E46" s="161"/>
      <c r="F46" s="303"/>
      <c r="G46" s="303"/>
      <c r="H46" s="303"/>
      <c r="I46" s="303"/>
      <c r="J46" s="303"/>
    </row>
    <row r="47" spans="1:14" ht="15.75" customHeight="1" x14ac:dyDescent="0.3">
      <c r="A47" t="s">
        <v>263</v>
      </c>
      <c r="E47" s="161"/>
      <c r="F47" s="303"/>
      <c r="G47" s="303"/>
      <c r="H47" s="303"/>
      <c r="I47" s="303"/>
      <c r="J47" s="303"/>
    </row>
    <row r="48" spans="1:14" ht="33.75" customHeight="1" x14ac:dyDescent="0.3">
      <c r="A48" s="60" t="s">
        <v>73</v>
      </c>
      <c r="B48" s="60" t="s">
        <v>401</v>
      </c>
      <c r="C48" s="60" t="s">
        <v>402</v>
      </c>
      <c r="D48" s="60" t="s">
        <v>403</v>
      </c>
      <c r="E48" s="60" t="s">
        <v>367</v>
      </c>
      <c r="F48" s="55"/>
      <c r="G48" s="55"/>
      <c r="H48" s="55"/>
      <c r="I48" s="55"/>
      <c r="J48" s="161"/>
    </row>
    <row r="49" spans="1:29" ht="35.25" customHeight="1" x14ac:dyDescent="0.3">
      <c r="A49" s="160" t="s">
        <v>80</v>
      </c>
      <c r="B49" s="16">
        <f>F42*24</f>
        <v>545.92315332292731</v>
      </c>
      <c r="C49" s="16">
        <f>B49*365</f>
        <v>199261.95096286846</v>
      </c>
      <c r="D49" s="32">
        <f>(C49*1226)/1000000000000</f>
        <v>2.4429515188047673E-4</v>
      </c>
      <c r="E49" s="33">
        <f>D49*265</f>
        <v>6.4738215248326333E-2</v>
      </c>
      <c r="F49" s="101"/>
      <c r="G49" s="216"/>
      <c r="H49" s="94"/>
      <c r="I49" s="94"/>
      <c r="J49" s="94"/>
    </row>
    <row r="50" spans="1:29" ht="15.75" customHeight="1" x14ac:dyDescent="0.3">
      <c r="A50" s="111" t="s">
        <v>81</v>
      </c>
      <c r="B50" s="16">
        <f t="shared" ref="B50:B51" si="2">F43*24</f>
        <v>1954.8905736159845</v>
      </c>
      <c r="C50" s="16">
        <f t="shared" ref="C50:C51" si="3">B50*365</f>
        <v>713535.05936983437</v>
      </c>
      <c r="D50" s="32">
        <f t="shared" ref="D50:D51" si="4">(C50*1226)/1000000000000</f>
        <v>8.7479398278741689E-4</v>
      </c>
      <c r="E50" s="33">
        <f t="shared" ref="E50:E52" si="5">D50*265</f>
        <v>0.23182040543866547</v>
      </c>
      <c r="F50" s="101"/>
      <c r="G50" s="101"/>
    </row>
    <row r="51" spans="1:29" ht="15.75" customHeight="1" x14ac:dyDescent="0.3">
      <c r="A51" s="6" t="s">
        <v>82</v>
      </c>
      <c r="B51" s="16">
        <f t="shared" si="2"/>
        <v>505.6752233366127</v>
      </c>
      <c r="C51" s="16">
        <f t="shared" si="3"/>
        <v>184571.45651786364</v>
      </c>
      <c r="D51" s="32">
        <f t="shared" si="4"/>
        <v>2.2628460569090083E-4</v>
      </c>
      <c r="E51" s="33">
        <f t="shared" si="5"/>
        <v>5.9965420508088722E-2</v>
      </c>
      <c r="F51" s="101"/>
      <c r="G51" s="101"/>
      <c r="H51" s="1"/>
      <c r="I51" s="1"/>
    </row>
    <row r="52" spans="1:29" ht="15.75" customHeight="1" x14ac:dyDescent="0.3">
      <c r="A52" s="307" t="s">
        <v>404</v>
      </c>
      <c r="B52" s="308"/>
      <c r="C52" s="309"/>
      <c r="D52" s="32">
        <f>AVERAGE(D49:D51)</f>
        <v>4.4845791345293149E-4</v>
      </c>
      <c r="E52" s="33">
        <f t="shared" si="5"/>
        <v>0.11884134706502684</v>
      </c>
      <c r="F52" s="217"/>
      <c r="G52" s="101"/>
      <c r="H52" s="1"/>
      <c r="I52" s="1"/>
    </row>
    <row r="53" spans="1:29" ht="15.75" customHeight="1" x14ac:dyDescent="0.3"/>
    <row r="54" spans="1:29" ht="15.75" customHeight="1" x14ac:dyDescent="0.3"/>
    <row r="55" spans="1:29" ht="15.75" customHeight="1" x14ac:dyDescent="0.3">
      <c r="A55" s="5" t="s">
        <v>396</v>
      </c>
    </row>
    <row r="56" spans="1:29" ht="15.75" customHeight="1" x14ac:dyDescent="0.3"/>
    <row r="57" spans="1:29" s="70" customFormat="1" ht="43.2" x14ac:dyDescent="0.3">
      <c r="A57" s="159" t="s">
        <v>73</v>
      </c>
      <c r="B57" s="60" t="s">
        <v>245</v>
      </c>
      <c r="C57" s="60" t="s">
        <v>246</v>
      </c>
      <c r="D57" s="60" t="s">
        <v>247</v>
      </c>
      <c r="E57" s="60" t="s">
        <v>248</v>
      </c>
      <c r="F57" s="60" t="s">
        <v>249</v>
      </c>
      <c r="L57" s="55"/>
      <c r="M57" s="55"/>
    </row>
    <row r="58" spans="1:29" ht="50.25" customHeight="1" x14ac:dyDescent="0.3">
      <c r="A58" s="160" t="s">
        <v>80</v>
      </c>
      <c r="B58" s="61">
        <v>335</v>
      </c>
      <c r="C58" s="19">
        <f>B58/365</f>
        <v>0.9178082191780822</v>
      </c>
      <c r="D58" s="61">
        <v>438</v>
      </c>
      <c r="E58" s="19">
        <f>D58/365</f>
        <v>1.2</v>
      </c>
      <c r="F58" s="61">
        <v>1.57</v>
      </c>
      <c r="L58" s="69"/>
      <c r="M58" s="69"/>
    </row>
    <row r="59" spans="1:29" x14ac:dyDescent="0.3">
      <c r="A59" s="111" t="s">
        <v>81</v>
      </c>
      <c r="B59" s="61">
        <v>51</v>
      </c>
      <c r="C59" s="19">
        <f>B59/365</f>
        <v>0.13972602739726028</v>
      </c>
      <c r="D59" s="61">
        <v>61</v>
      </c>
      <c r="E59" s="19">
        <f>D59/365</f>
        <v>0.16712328767123288</v>
      </c>
      <c r="F59" s="61">
        <v>21.4</v>
      </c>
      <c r="L59" s="163"/>
      <c r="M59" s="163"/>
      <c r="N59" s="164"/>
    </row>
    <row r="60" spans="1:29" s="1" customFormat="1" x14ac:dyDescent="0.3">
      <c r="A60" s="6" t="s">
        <v>82</v>
      </c>
      <c r="B60" s="61">
        <f>211-16</f>
        <v>195</v>
      </c>
      <c r="C60" s="19">
        <f>B60/365</f>
        <v>0.53424657534246578</v>
      </c>
      <c r="D60" s="61">
        <f>213-16</f>
        <v>197</v>
      </c>
      <c r="E60" s="19">
        <f>D60/365</f>
        <v>0.53972602739726028</v>
      </c>
      <c r="F60" s="61">
        <v>21.3</v>
      </c>
    </row>
    <row r="61" spans="1:29" x14ac:dyDescent="0.3">
      <c r="E61" s="161"/>
      <c r="F61" s="162"/>
      <c r="I61" s="161"/>
      <c r="J61" s="161"/>
      <c r="Q61" s="230"/>
      <c r="R61" s="230"/>
      <c r="W61" s="51"/>
    </row>
    <row r="62" spans="1:29" x14ac:dyDescent="0.3">
      <c r="A62" t="s">
        <v>258</v>
      </c>
      <c r="E62" s="161"/>
      <c r="F62" s="310" t="s">
        <v>255</v>
      </c>
      <c r="G62" s="310"/>
      <c r="H62" s="310"/>
      <c r="I62" s="310"/>
      <c r="J62" s="310"/>
      <c r="Q62" s="230"/>
      <c r="R62" s="230"/>
      <c r="AA62" s="1"/>
      <c r="AB62" s="73"/>
      <c r="AC62" s="232"/>
    </row>
    <row r="63" spans="1:29" ht="28.8" x14ac:dyDescent="0.3">
      <c r="A63" s="159" t="s">
        <v>73</v>
      </c>
      <c r="B63" s="60" t="s">
        <v>250</v>
      </c>
      <c r="C63" s="60" t="s">
        <v>251</v>
      </c>
      <c r="D63" s="60" t="s">
        <v>252</v>
      </c>
      <c r="E63" s="60" t="s">
        <v>253</v>
      </c>
      <c r="F63" s="169" t="s">
        <v>74</v>
      </c>
      <c r="G63" s="169" t="s">
        <v>75</v>
      </c>
      <c r="H63" s="169" t="s">
        <v>76</v>
      </c>
      <c r="I63" s="169" t="s">
        <v>77</v>
      </c>
      <c r="J63" s="169" t="s">
        <v>78</v>
      </c>
      <c r="L63" s="69"/>
      <c r="M63" s="69"/>
      <c r="O63" s="231"/>
      <c r="P63" s="230"/>
      <c r="Q63" s="230"/>
      <c r="R63" s="230"/>
      <c r="AA63" s="1"/>
      <c r="AB63" s="73"/>
      <c r="AC63" s="232"/>
    </row>
    <row r="64" spans="1:29" ht="28.8" x14ac:dyDescent="0.3">
      <c r="A64" s="160" t="s">
        <v>80</v>
      </c>
      <c r="B64" s="19">
        <f>C58/(F58*5.4)</f>
        <v>0.10825763377896698</v>
      </c>
      <c r="C64" s="20">
        <f>B64*1000</f>
        <v>108.25763377896698</v>
      </c>
      <c r="D64" s="19">
        <f>E58/(5.4*$F58)</f>
        <v>0.14154281670205235</v>
      </c>
      <c r="E64" s="20">
        <f t="shared" ref="E64:E66" si="6">D64*1000</f>
        <v>141.54281670205233</v>
      </c>
      <c r="F64" s="19">
        <f>LOG10(D64)</f>
        <v>-0.84911216618457752</v>
      </c>
      <c r="G64" s="19">
        <f>LOG10(C64)</f>
        <v>2.0344585303481684</v>
      </c>
      <c r="H64" s="19">
        <f>((0.653*F64) + (0.548*G64)) - 1.517</f>
        <v>-0.95658696988773262</v>
      </c>
      <c r="I64" s="33">
        <f>10^H64</f>
        <v>0.11051291389598913</v>
      </c>
      <c r="J64" s="19">
        <f>C64/E64</f>
        <v>0.76484018264840192</v>
      </c>
      <c r="L64" s="69"/>
      <c r="M64" s="69"/>
      <c r="O64" s="231"/>
      <c r="P64" s="230"/>
      <c r="Q64" s="230"/>
      <c r="R64" s="230"/>
      <c r="AA64" s="1"/>
      <c r="AB64" s="73"/>
      <c r="AC64" s="232"/>
    </row>
    <row r="65" spans="1:29" x14ac:dyDescent="0.3">
      <c r="A65" s="111" t="s">
        <v>81</v>
      </c>
      <c r="B65" s="32">
        <f>C59/(F59*5.4)</f>
        <v>1.2091210401285937E-3</v>
      </c>
      <c r="C65" s="20">
        <f t="shared" ref="C65:C66" si="7">B65*1000</f>
        <v>1.2091210401285937</v>
      </c>
      <c r="D65" s="32">
        <f>E59/(5.4*$F59)</f>
        <v>1.4462035970165532E-3</v>
      </c>
      <c r="E65" s="20">
        <f t="shared" si="6"/>
        <v>1.4462035970165532</v>
      </c>
      <c r="F65" s="19">
        <f>LOG10(D65)</f>
        <v>-2.8397705626178671</v>
      </c>
      <c r="G65" s="19">
        <f>LOG10(C65)</f>
        <v>8.2469778469302354E-2</v>
      </c>
      <c r="H65" s="19">
        <f t="shared" ref="H65:H66" si="8">((0.653*F65) + (0.548*G65)) - 1.517</f>
        <v>-3.3261767387882895</v>
      </c>
      <c r="I65" s="170">
        <f t="shared" ref="I65:I66" si="9">10^H65</f>
        <v>4.7187097141435753E-4</v>
      </c>
      <c r="J65" s="19">
        <f>C65/E65</f>
        <v>0.83606557377049184</v>
      </c>
      <c r="L65" s="69"/>
      <c r="M65" s="69"/>
      <c r="O65" s="231"/>
      <c r="P65" s="230"/>
      <c r="Q65" s="230"/>
      <c r="R65" s="230"/>
      <c r="AA65" s="1"/>
      <c r="AB65" s="73"/>
      <c r="AC65" s="232"/>
    </row>
    <row r="66" spans="1:29" x14ac:dyDescent="0.3">
      <c r="A66" s="6" t="s">
        <v>82</v>
      </c>
      <c r="B66" s="32">
        <f>C60/(F60*5.4)</f>
        <v>4.6448146004387557E-3</v>
      </c>
      <c r="C66" s="20">
        <f t="shared" si="7"/>
        <v>4.6448146004387558</v>
      </c>
      <c r="D66" s="32">
        <f>E60/(5.4*$F60)</f>
        <v>4.6924537245458201E-3</v>
      </c>
      <c r="E66" s="20">
        <f t="shared" si="6"/>
        <v>4.6924537245458202</v>
      </c>
      <c r="F66" s="19">
        <f>LOG10(D66)</f>
        <v>-2.328600001556588</v>
      </c>
      <c r="G66" s="19">
        <f>LOG10(C66)</f>
        <v>0.66696838364433708</v>
      </c>
      <c r="H66" s="19">
        <f t="shared" si="8"/>
        <v>-2.6720771267793553</v>
      </c>
      <c r="I66" s="170">
        <f t="shared" si="9"/>
        <v>2.1277611412573293E-3</v>
      </c>
      <c r="J66" s="19">
        <f>C66/E66</f>
        <v>0.98984771573604058</v>
      </c>
      <c r="L66" s="69"/>
      <c r="M66" s="69"/>
      <c r="O66" s="231"/>
      <c r="P66" s="230"/>
      <c r="Q66" s="230"/>
      <c r="R66" s="230"/>
      <c r="AA66" s="1"/>
      <c r="AB66" s="73"/>
      <c r="AC66" s="232"/>
    </row>
    <row r="67" spans="1:29" ht="16.5" customHeight="1" x14ac:dyDescent="0.3">
      <c r="A67" s="312" t="s">
        <v>254</v>
      </c>
      <c r="B67" s="312"/>
      <c r="C67" s="312"/>
      <c r="D67" s="312"/>
      <c r="E67" s="312"/>
      <c r="F67" s="312"/>
      <c r="G67" s="312"/>
      <c r="H67" s="312"/>
      <c r="I67" s="312"/>
      <c r="J67" s="312"/>
      <c r="L67" s="69"/>
      <c r="M67" s="69"/>
      <c r="O67" s="231"/>
      <c r="P67" s="230"/>
      <c r="Q67" s="230"/>
      <c r="R67" s="230"/>
      <c r="AA67" s="1"/>
      <c r="AB67" s="73"/>
      <c r="AC67" s="232"/>
    </row>
    <row r="68" spans="1:29" ht="16.5" customHeight="1" x14ac:dyDescent="0.3">
      <c r="A68" s="221" t="s">
        <v>434</v>
      </c>
      <c r="B68" s="125"/>
      <c r="C68" s="125"/>
      <c r="D68" s="125"/>
      <c r="E68" s="125"/>
      <c r="F68" s="125"/>
      <c r="G68" s="125"/>
      <c r="H68" s="125"/>
      <c r="I68" s="125"/>
      <c r="J68" s="125"/>
      <c r="L68" s="69"/>
      <c r="M68" s="69"/>
      <c r="O68" s="231"/>
      <c r="P68" s="230"/>
      <c r="Q68" s="230"/>
      <c r="R68" s="230"/>
      <c r="AA68" s="1"/>
      <c r="AB68" s="73"/>
      <c r="AC68" s="232"/>
    </row>
    <row r="69" spans="1:29" x14ac:dyDescent="0.3">
      <c r="E69" s="161"/>
      <c r="F69" s="303"/>
      <c r="G69" s="303"/>
      <c r="H69" s="303"/>
      <c r="I69" s="303"/>
      <c r="J69" s="303"/>
      <c r="K69" s="303"/>
      <c r="L69" s="303"/>
      <c r="M69" s="74"/>
      <c r="O69" s="231"/>
      <c r="P69" s="230"/>
      <c r="Q69" s="230"/>
      <c r="R69" s="230"/>
      <c r="AA69" s="1"/>
      <c r="AB69" s="73"/>
      <c r="AC69" s="232"/>
    </row>
    <row r="70" spans="1:29" x14ac:dyDescent="0.3">
      <c r="A70" t="s">
        <v>263</v>
      </c>
      <c r="E70" s="161"/>
      <c r="F70" s="303"/>
      <c r="G70" s="303"/>
      <c r="H70" s="303"/>
      <c r="I70" s="303"/>
      <c r="J70" s="303"/>
      <c r="K70" s="303"/>
      <c r="L70" s="303"/>
      <c r="M70" s="74"/>
      <c r="O70" s="231"/>
      <c r="P70" s="230"/>
      <c r="Q70" s="230"/>
      <c r="R70" s="230"/>
      <c r="AA70" s="1"/>
      <c r="AB70" s="73"/>
      <c r="AC70" s="232"/>
    </row>
    <row r="71" spans="1:29" ht="57.6" x14ac:dyDescent="0.3">
      <c r="A71" s="60" t="s">
        <v>73</v>
      </c>
      <c r="B71" s="60" t="s">
        <v>256</v>
      </c>
      <c r="C71" s="60" t="s">
        <v>257</v>
      </c>
      <c r="D71" s="60" t="s">
        <v>264</v>
      </c>
      <c r="E71" s="60" t="s">
        <v>261</v>
      </c>
      <c r="F71" s="60" t="s">
        <v>262</v>
      </c>
      <c r="G71" s="60" t="s">
        <v>405</v>
      </c>
      <c r="H71" s="60" t="s">
        <v>367</v>
      </c>
      <c r="I71" s="55"/>
      <c r="J71" s="161"/>
      <c r="L71" s="69"/>
      <c r="M71" s="69"/>
      <c r="O71" s="231"/>
      <c r="P71" s="230"/>
      <c r="Q71" s="230"/>
      <c r="R71" s="230"/>
      <c r="AA71" s="1"/>
      <c r="AB71" s="73"/>
      <c r="AC71" s="232"/>
    </row>
    <row r="72" spans="1:29" ht="28.8" x14ac:dyDescent="0.3">
      <c r="A72" s="160" t="s">
        <v>80</v>
      </c>
      <c r="B72" s="19">
        <v>2.2400000000000002</v>
      </c>
      <c r="C72" s="61">
        <f>B72*4047</f>
        <v>9065.2800000000007</v>
      </c>
      <c r="D72" s="33">
        <f>0.788*LOG(I64)+0.94</f>
        <v>0.18620946772846647</v>
      </c>
      <c r="E72" s="33">
        <f>10^D72</f>
        <v>1.5353573335990811</v>
      </c>
      <c r="F72" s="33">
        <f>E72*365</f>
        <v>560.40542676366465</v>
      </c>
      <c r="G72" s="34">
        <f>F72*0.000000001*C72</f>
        <v>5.0802321071321144E-3</v>
      </c>
      <c r="H72" s="19">
        <f>G72*28</f>
        <v>0.14224649899969921</v>
      </c>
      <c r="I72" s="94"/>
      <c r="J72" s="94"/>
    </row>
    <row r="73" spans="1:29" x14ac:dyDescent="0.3">
      <c r="A73" s="111" t="s">
        <v>81</v>
      </c>
      <c r="B73" s="19">
        <v>337</v>
      </c>
      <c r="C73" s="61">
        <f t="shared" ref="C73:C74" si="10">B73*4047</f>
        <v>1363839</v>
      </c>
      <c r="D73" s="33">
        <f>0.788*LOG(I65)+0.94</f>
        <v>-1.6810272701651727</v>
      </c>
      <c r="E73" s="33">
        <f t="shared" ref="E73:E74" si="11">10^D73</f>
        <v>2.0843599981139289E-2</v>
      </c>
      <c r="F73" s="33">
        <f t="shared" ref="F73:F74" si="12">E73*365</f>
        <v>7.6079139931158402</v>
      </c>
      <c r="G73" s="33">
        <f t="shared" ref="G73:G74" si="13">F73*0.000000001*C73</f>
        <v>1.0375969812457114E-2</v>
      </c>
      <c r="H73" s="19">
        <f t="shared" ref="H73:H74" si="14">G73*28</f>
        <v>0.2905271547487992</v>
      </c>
    </row>
    <row r="74" spans="1:29" x14ac:dyDescent="0.3">
      <c r="A74" s="6" t="s">
        <v>82</v>
      </c>
      <c r="B74" s="19">
        <v>337</v>
      </c>
      <c r="C74" s="61">
        <f t="shared" si="10"/>
        <v>1363839</v>
      </c>
      <c r="D74" s="33">
        <f>0.788*LOG(I66)+0.94</f>
        <v>-1.1655967759021326</v>
      </c>
      <c r="E74" s="33">
        <f t="shared" si="11"/>
        <v>6.8297251101293879E-2</v>
      </c>
      <c r="F74" s="33">
        <f t="shared" si="12"/>
        <v>24.928496651972267</v>
      </c>
      <c r="G74" s="33">
        <f t="shared" si="13"/>
        <v>3.3998455945329208E-2</v>
      </c>
      <c r="H74" s="19">
        <f t="shared" si="14"/>
        <v>0.95195676646921779</v>
      </c>
      <c r="I74" s="1"/>
    </row>
    <row r="75" spans="1:29" x14ac:dyDescent="0.3">
      <c r="A75" s="304" t="s">
        <v>265</v>
      </c>
      <c r="B75" s="304"/>
      <c r="C75" s="304"/>
      <c r="D75" s="304"/>
      <c r="E75" s="304"/>
      <c r="F75" s="304"/>
      <c r="G75" s="33">
        <f>AVERAGE(G72:G74)</f>
        <v>1.648488595497281E-2</v>
      </c>
      <c r="H75" s="19">
        <f>AVERAGE(H72:H74)</f>
        <v>0.46157680673923873</v>
      </c>
      <c r="I75" s="1"/>
    </row>
    <row r="76" spans="1:29" x14ac:dyDescent="0.3">
      <c r="A76" s="9" t="s">
        <v>259</v>
      </c>
      <c r="B76" s="9"/>
      <c r="C76" s="9"/>
      <c r="D76" s="9"/>
      <c r="E76" s="9"/>
      <c r="F76" s="9"/>
      <c r="G76" s="9"/>
      <c r="AA76" s="75"/>
    </row>
    <row r="77" spans="1:29" ht="30" customHeight="1" x14ac:dyDescent="0.3">
      <c r="A77" s="284" t="s">
        <v>260</v>
      </c>
      <c r="B77" s="284"/>
      <c r="C77" s="284"/>
      <c r="D77" s="284"/>
      <c r="E77" s="284"/>
      <c r="F77" s="284"/>
      <c r="G77" s="284"/>
      <c r="AA77" s="75"/>
    </row>
    <row r="78" spans="1:29" x14ac:dyDescent="0.3">
      <c r="AB78" s="70"/>
    </row>
    <row r="79" spans="1:29" x14ac:dyDescent="0.3">
      <c r="A79" s="5" t="s">
        <v>406</v>
      </c>
      <c r="AB79" s="70"/>
    </row>
    <row r="80" spans="1:29" x14ac:dyDescent="0.3">
      <c r="A80" s="5"/>
      <c r="AB80" s="70"/>
    </row>
    <row r="81" spans="1:28" ht="32.25" customHeight="1" x14ac:dyDescent="0.3">
      <c r="A81" s="298" t="s">
        <v>407</v>
      </c>
      <c r="B81" s="298"/>
      <c r="C81" s="298"/>
      <c r="D81" s="298"/>
      <c r="E81" s="298"/>
      <c r="F81" s="298"/>
      <c r="G81" s="298"/>
      <c r="H81" s="298"/>
      <c r="I81" s="298"/>
      <c r="J81" s="298"/>
      <c r="AB81" s="70"/>
    </row>
    <row r="82" spans="1:28" x14ac:dyDescent="0.3">
      <c r="AB82" s="70"/>
    </row>
    <row r="83" spans="1:28" x14ac:dyDescent="0.3">
      <c r="A83">
        <v>1</v>
      </c>
      <c r="B83" t="s">
        <v>411</v>
      </c>
      <c r="AB83" s="70"/>
    </row>
    <row r="84" spans="1:28" x14ac:dyDescent="0.3">
      <c r="A84">
        <v>4</v>
      </c>
      <c r="B84" t="s">
        <v>408</v>
      </c>
      <c r="AB84" s="70"/>
    </row>
    <row r="85" spans="1:28" x14ac:dyDescent="0.3">
      <c r="A85">
        <f>A84*A83</f>
        <v>4</v>
      </c>
      <c r="B85" t="s">
        <v>409</v>
      </c>
      <c r="AB85" s="70"/>
    </row>
    <row r="86" spans="1:28" x14ac:dyDescent="0.3">
      <c r="AB86" s="70"/>
    </row>
    <row r="87" spans="1:28" x14ac:dyDescent="0.3">
      <c r="A87" s="5" t="s">
        <v>267</v>
      </c>
      <c r="AB87" s="70"/>
    </row>
    <row r="88" spans="1:28" x14ac:dyDescent="0.3">
      <c r="A88" s="47" t="s">
        <v>266</v>
      </c>
    </row>
    <row r="89" spans="1:28" x14ac:dyDescent="0.3">
      <c r="A89" s="133">
        <f>E52</f>
        <v>0.11884134706502684</v>
      </c>
      <c r="B89" t="s">
        <v>413</v>
      </c>
    </row>
    <row r="90" spans="1:28" x14ac:dyDescent="0.3">
      <c r="A90" s="133">
        <f>H75</f>
        <v>0.46157680673923873</v>
      </c>
      <c r="B90" t="s">
        <v>412</v>
      </c>
    </row>
    <row r="91" spans="1:28" x14ac:dyDescent="0.3">
      <c r="A91" s="191">
        <f>A85</f>
        <v>4</v>
      </c>
      <c r="B91" s="133" t="s">
        <v>414</v>
      </c>
    </row>
    <row r="92" spans="1:28" x14ac:dyDescent="0.3">
      <c r="A92" s="57" t="s">
        <v>417</v>
      </c>
    </row>
    <row r="93" spans="1:28" x14ac:dyDescent="0.3">
      <c r="A93" s="219">
        <f>SUM(A89:A91)</f>
        <v>4.5804181538042652</v>
      </c>
      <c r="B93" t="s">
        <v>416</v>
      </c>
    </row>
    <row r="94" spans="1:28" x14ac:dyDescent="0.3">
      <c r="A94" s="220">
        <f>A93/1000000</f>
        <v>4.5804181538042649E-6</v>
      </c>
      <c r="B94" t="s">
        <v>415</v>
      </c>
    </row>
    <row r="95" spans="1:28" ht="15" thickBot="1" x14ac:dyDescent="0.35"/>
    <row r="96" spans="1:28" ht="58.8" thickTop="1" thickBot="1" x14ac:dyDescent="0.35">
      <c r="A96" s="174" t="s">
        <v>228</v>
      </c>
      <c r="B96" s="175" t="s">
        <v>410</v>
      </c>
      <c r="C96" s="142" t="s">
        <v>53</v>
      </c>
      <c r="D96" s="143" t="s">
        <v>54</v>
      </c>
      <c r="E96" s="144" t="s">
        <v>60</v>
      </c>
    </row>
    <row r="97" spans="1:5" ht="29.4" thickTop="1" x14ac:dyDescent="0.3">
      <c r="A97" s="177">
        <v>1</v>
      </c>
      <c r="B97" s="178" t="s">
        <v>272</v>
      </c>
      <c r="C97" s="179" t="s">
        <v>152</v>
      </c>
      <c r="D97" s="150" t="s">
        <v>152</v>
      </c>
      <c r="E97" s="151" t="s">
        <v>152</v>
      </c>
    </row>
    <row r="98" spans="1:5" x14ac:dyDescent="0.3">
      <c r="A98" s="180">
        <v>2</v>
      </c>
      <c r="B98" s="112">
        <v>2</v>
      </c>
      <c r="C98" s="32">
        <f>$A$94*B98</f>
        <v>9.1608363076085298E-6</v>
      </c>
      <c r="D98" s="148" t="s">
        <v>152</v>
      </c>
      <c r="E98" s="153" t="s">
        <v>152</v>
      </c>
    </row>
    <row r="99" spans="1:5" x14ac:dyDescent="0.3">
      <c r="A99" s="180">
        <v>3</v>
      </c>
      <c r="B99" s="112">
        <v>4</v>
      </c>
      <c r="C99" s="32">
        <f t="shared" ref="C99:C101" si="15">$A$94*B99</f>
        <v>1.832167261521706E-5</v>
      </c>
      <c r="D99" s="148" t="s">
        <v>152</v>
      </c>
      <c r="E99" s="153" t="s">
        <v>152</v>
      </c>
    </row>
    <row r="100" spans="1:5" x14ac:dyDescent="0.3">
      <c r="A100" s="180">
        <v>4</v>
      </c>
      <c r="B100" s="112">
        <v>6</v>
      </c>
      <c r="C100" s="32">
        <f t="shared" si="15"/>
        <v>2.7482508922825589E-5</v>
      </c>
      <c r="D100" s="148" t="s">
        <v>152</v>
      </c>
      <c r="E100" s="153" t="s">
        <v>152</v>
      </c>
    </row>
    <row r="101" spans="1:5" x14ac:dyDescent="0.3">
      <c r="A101" s="180">
        <v>5</v>
      </c>
      <c r="B101" s="112">
        <v>6</v>
      </c>
      <c r="C101" s="32">
        <f t="shared" si="15"/>
        <v>2.7482508922825589E-5</v>
      </c>
      <c r="D101" s="148" t="s">
        <v>152</v>
      </c>
      <c r="E101" s="153" t="s">
        <v>152</v>
      </c>
    </row>
    <row r="102" spans="1:5" ht="15" thickBot="1" x14ac:dyDescent="0.35">
      <c r="A102" s="27" t="s">
        <v>3</v>
      </c>
      <c r="B102" s="141">
        <f>B100</f>
        <v>6</v>
      </c>
      <c r="C102" s="181" t="s">
        <v>152</v>
      </c>
      <c r="D102" s="154">
        <f>SUM(C97:C101)</f>
        <v>8.2447526768476771E-5</v>
      </c>
      <c r="E102" s="155">
        <f>D102+(C101*20)</f>
        <v>6.3209770522498852E-4</v>
      </c>
    </row>
    <row r="103" spans="1:5" ht="15" thickTop="1" x14ac:dyDescent="0.3"/>
  </sheetData>
  <mergeCells count="20">
    <mergeCell ref="A9:J9"/>
    <mergeCell ref="A52:C52"/>
    <mergeCell ref="F62:J62"/>
    <mergeCell ref="F70:J70"/>
    <mergeCell ref="K70:L70"/>
    <mergeCell ref="A14:B16"/>
    <mergeCell ref="C14:D14"/>
    <mergeCell ref="C15:D15"/>
    <mergeCell ref="A17:B17"/>
    <mergeCell ref="A67:J67"/>
    <mergeCell ref="A10:J10"/>
    <mergeCell ref="F46:J46"/>
    <mergeCell ref="F47:J47"/>
    <mergeCell ref="D41:F41"/>
    <mergeCell ref="A45:F45"/>
    <mergeCell ref="A81:J81"/>
    <mergeCell ref="A77:G77"/>
    <mergeCell ref="F69:J69"/>
    <mergeCell ref="K69:L69"/>
    <mergeCell ref="A75:F75"/>
  </mergeCells>
  <pageMargins left="0.7" right="0.7" top="0.75" bottom="0.75" header="0.3" footer="0.3"/>
  <pageSetup scale="74" orientation="landscape" r:id="rId1"/>
  <rowBreaks count="2" manualBreakCount="2">
    <brk id="39" max="16383" man="1"/>
    <brk id="69" max="16383" man="1"/>
  </rowBreaks>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B9086-63CF-4909-AD63-3E591B67100D}">
  <dimension ref="A1:L79"/>
  <sheetViews>
    <sheetView view="pageBreakPreview" topLeftCell="A51" zoomScaleNormal="100" zoomScaleSheetLayoutView="100" workbookViewId="0">
      <selection activeCell="A6" sqref="A6:F16"/>
    </sheetView>
  </sheetViews>
  <sheetFormatPr defaultRowHeight="14.4" x14ac:dyDescent="0.3"/>
  <cols>
    <col min="1" max="1" width="18.88671875" customWidth="1"/>
    <col min="2" max="3" width="16" customWidth="1"/>
    <col min="4" max="4" width="13.6640625" customWidth="1"/>
    <col min="5" max="5" width="17" customWidth="1"/>
    <col min="6" max="6" width="15.6640625" customWidth="1"/>
    <col min="7" max="7" width="12" bestFit="1" customWidth="1"/>
    <col min="8" max="12" width="15.33203125" customWidth="1"/>
  </cols>
  <sheetData>
    <row r="1" spans="1:6" x14ac:dyDescent="0.3">
      <c r="A1" s="1" t="s">
        <v>0</v>
      </c>
    </row>
    <row r="2" spans="1:6" x14ac:dyDescent="0.3">
      <c r="A2" s="1" t="s">
        <v>421</v>
      </c>
    </row>
    <row r="3" spans="1:6" x14ac:dyDescent="0.3">
      <c r="A3" s="1" t="s">
        <v>420</v>
      </c>
    </row>
    <row r="5" spans="1:6" x14ac:dyDescent="0.3">
      <c r="A5" s="1" t="s">
        <v>1</v>
      </c>
      <c r="B5" s="1" t="s">
        <v>67</v>
      </c>
    </row>
    <row r="7" spans="1:6" x14ac:dyDescent="0.3">
      <c r="A7" s="1" t="s">
        <v>8</v>
      </c>
    </row>
    <row r="8" spans="1:6" x14ac:dyDescent="0.3">
      <c r="A8" t="s">
        <v>32</v>
      </c>
    </row>
    <row r="9" spans="1:6" x14ac:dyDescent="0.3">
      <c r="A9" t="s">
        <v>33</v>
      </c>
      <c r="C9" s="237">
        <v>8215955</v>
      </c>
      <c r="F9" s="233"/>
    </row>
    <row r="10" spans="1:6" x14ac:dyDescent="0.3">
      <c r="A10" t="s">
        <v>55</v>
      </c>
      <c r="C10" s="237">
        <v>9737193</v>
      </c>
      <c r="F10" s="233"/>
    </row>
    <row r="11" spans="1:6" x14ac:dyDescent="0.3">
      <c r="A11" t="s">
        <v>30</v>
      </c>
      <c r="C11" s="237">
        <v>9816744</v>
      </c>
      <c r="F11" s="233"/>
    </row>
    <row r="12" spans="1:6" x14ac:dyDescent="0.3">
      <c r="A12" s="1"/>
      <c r="C12" s="237"/>
      <c r="F12" s="233"/>
    </row>
    <row r="13" spans="1:6" ht="15.6" x14ac:dyDescent="0.3">
      <c r="A13" s="114" t="s">
        <v>182</v>
      </c>
      <c r="B13" s="1"/>
      <c r="C13" s="237"/>
      <c r="F13" s="233"/>
    </row>
    <row r="14" spans="1:6" x14ac:dyDescent="0.3">
      <c r="A14" s="1"/>
      <c r="B14" s="1"/>
      <c r="C14" s="237"/>
      <c r="F14" s="233"/>
    </row>
    <row r="15" spans="1:6" x14ac:dyDescent="0.3">
      <c r="A15" s="287" t="s">
        <v>56</v>
      </c>
      <c r="B15" s="288"/>
      <c r="C15" s="285" t="s">
        <v>57</v>
      </c>
      <c r="D15" s="286"/>
      <c r="E15" s="59" t="s">
        <v>183</v>
      </c>
      <c r="F15" s="233"/>
    </row>
    <row r="16" spans="1:6" ht="15.6" x14ac:dyDescent="0.3">
      <c r="A16" s="289"/>
      <c r="B16" s="290"/>
      <c r="C16" s="285" t="s">
        <v>184</v>
      </c>
      <c r="D16" s="286"/>
      <c r="E16" s="59" t="s">
        <v>185</v>
      </c>
      <c r="F16" s="254"/>
    </row>
    <row r="17" spans="1:10" x14ac:dyDescent="0.3">
      <c r="A17" s="291"/>
      <c r="B17" s="292"/>
      <c r="C17" s="115" t="s">
        <v>58</v>
      </c>
      <c r="D17" s="115" t="s">
        <v>59</v>
      </c>
      <c r="E17" s="61" t="s">
        <v>186</v>
      </c>
    </row>
    <row r="18" spans="1:10" x14ac:dyDescent="0.3">
      <c r="A18" s="311" t="s">
        <v>64</v>
      </c>
      <c r="B18" s="311"/>
      <c r="C18" s="120">
        <f>D78</f>
        <v>7.4375062369025025E-2</v>
      </c>
      <c r="D18" s="136">
        <f>E78</f>
        <v>0.57020881149585856</v>
      </c>
      <c r="E18" s="116">
        <f>B20/(C18*1000000)</f>
        <v>13.445366876310278</v>
      </c>
    </row>
    <row r="19" spans="1:10" x14ac:dyDescent="0.3">
      <c r="A19" s="1"/>
      <c r="B19" s="1"/>
    </row>
    <row r="20" spans="1:10" x14ac:dyDescent="0.3">
      <c r="A20" s="1" t="s">
        <v>193</v>
      </c>
      <c r="B20" s="124">
        <v>1000000</v>
      </c>
    </row>
    <row r="22" spans="1:10" x14ac:dyDescent="0.3">
      <c r="A22" s="1" t="s">
        <v>2</v>
      </c>
    </row>
    <row r="23" spans="1:10" ht="52.2" customHeight="1" x14ac:dyDescent="0.3">
      <c r="A23" s="298" t="s">
        <v>443</v>
      </c>
      <c r="B23" s="298"/>
      <c r="C23" s="298"/>
      <c r="D23" s="298"/>
      <c r="E23" s="298"/>
      <c r="F23" s="298"/>
      <c r="G23" s="298"/>
      <c r="H23" s="298"/>
      <c r="I23" s="298"/>
      <c r="J23" s="298"/>
    </row>
    <row r="24" spans="1:10" ht="13.95" customHeight="1" x14ac:dyDescent="0.3">
      <c r="A24" s="3"/>
      <c r="B24" s="3"/>
      <c r="C24" s="3"/>
      <c r="D24" s="3"/>
      <c r="E24" s="3"/>
      <c r="F24" s="3"/>
      <c r="G24" s="3"/>
      <c r="H24" s="3"/>
      <c r="I24" s="3"/>
      <c r="J24" s="3"/>
    </row>
    <row r="25" spans="1:10" ht="13.95" customHeight="1" x14ac:dyDescent="0.3">
      <c r="A25" s="139" t="s">
        <v>219</v>
      </c>
      <c r="B25" s="3"/>
      <c r="C25" s="3"/>
      <c r="D25" s="3"/>
      <c r="E25" s="3"/>
      <c r="F25" s="3"/>
      <c r="G25" s="3"/>
      <c r="H25" s="3"/>
      <c r="I25" s="3"/>
      <c r="J25" s="3"/>
    </row>
    <row r="26" spans="1:10" ht="13.95" customHeight="1" x14ac:dyDescent="0.3">
      <c r="A26" s="28"/>
      <c r="B26" s="3"/>
      <c r="C26" s="3"/>
      <c r="D26" s="3"/>
      <c r="E26" s="3"/>
      <c r="F26" s="3"/>
      <c r="G26" s="3"/>
      <c r="H26" s="3"/>
      <c r="I26" s="3"/>
      <c r="J26" s="3"/>
    </row>
    <row r="27" spans="1:10" ht="13.95" customHeight="1" x14ac:dyDescent="0.3">
      <c r="A27" s="28" t="s">
        <v>137</v>
      </c>
      <c r="B27" s="3"/>
      <c r="C27" s="3"/>
      <c r="D27" s="3"/>
      <c r="E27" s="3"/>
      <c r="F27" s="3"/>
      <c r="G27" s="3"/>
      <c r="H27" s="3"/>
      <c r="I27" s="3"/>
      <c r="J27" s="3"/>
    </row>
    <row r="28" spans="1:10" ht="13.95" customHeight="1" x14ac:dyDescent="0.3">
      <c r="A28" s="139" t="s">
        <v>220</v>
      </c>
      <c r="B28" s="3"/>
      <c r="C28" s="3"/>
      <c r="D28" s="3"/>
      <c r="E28" s="3"/>
      <c r="F28" s="3"/>
      <c r="G28" s="3"/>
      <c r="H28" s="3"/>
      <c r="I28" s="3"/>
      <c r="J28" s="3"/>
    </row>
    <row r="29" spans="1:10" ht="13.95" customHeight="1" x14ac:dyDescent="0.3">
      <c r="A29" s="140">
        <v>7000000</v>
      </c>
      <c r="B29" s="3" t="s">
        <v>444</v>
      </c>
      <c r="C29" s="3"/>
      <c r="D29" s="3"/>
      <c r="E29" s="3"/>
      <c r="F29" s="3"/>
      <c r="G29" s="3"/>
      <c r="H29" s="3"/>
      <c r="I29" s="3"/>
      <c r="J29" s="3"/>
    </row>
    <row r="30" spans="1:10" ht="13.95" customHeight="1" x14ac:dyDescent="0.3">
      <c r="A30" s="140">
        <v>500000</v>
      </c>
      <c r="B30" s="139" t="s">
        <v>221</v>
      </c>
      <c r="C30" s="3"/>
      <c r="D30" s="3"/>
      <c r="E30" s="3"/>
      <c r="F30" s="3"/>
      <c r="G30" s="3"/>
      <c r="H30" s="3"/>
      <c r="I30" s="3"/>
      <c r="J30" s="3"/>
    </row>
    <row r="31" spans="1:10" ht="13.95" customHeight="1" x14ac:dyDescent="0.3">
      <c r="A31" s="140">
        <f>A30/5</f>
        <v>100000</v>
      </c>
      <c r="B31" s="139" t="s">
        <v>222</v>
      </c>
      <c r="C31" s="3"/>
      <c r="D31" s="3"/>
      <c r="E31" s="3"/>
      <c r="F31" s="3"/>
      <c r="G31" s="3"/>
      <c r="H31" s="3"/>
      <c r="I31" s="3"/>
      <c r="J31" s="3"/>
    </row>
    <row r="32" spans="1:10" ht="13.95" customHeight="1" x14ac:dyDescent="0.3">
      <c r="A32" s="140"/>
      <c r="B32" s="3"/>
      <c r="C32" s="3"/>
      <c r="D32" s="3"/>
      <c r="E32" s="3"/>
      <c r="F32" s="3"/>
      <c r="G32" s="3"/>
      <c r="H32" s="3"/>
      <c r="I32" s="3"/>
      <c r="J32" s="3"/>
    </row>
    <row r="33" spans="1:11" ht="31.2" customHeight="1" x14ac:dyDescent="0.3">
      <c r="A33" s="298" t="s">
        <v>34</v>
      </c>
      <c r="B33" s="298"/>
      <c r="C33" s="298"/>
      <c r="D33" s="298"/>
      <c r="E33" s="298"/>
      <c r="F33" s="298"/>
      <c r="G33" s="298"/>
      <c r="H33" s="298"/>
      <c r="I33" s="298"/>
      <c r="J33" s="298"/>
    </row>
    <row r="35" spans="1:11" x14ac:dyDescent="0.3">
      <c r="A35" t="s">
        <v>35</v>
      </c>
      <c r="K35" s="137"/>
    </row>
    <row r="36" spans="1:11" x14ac:dyDescent="0.3">
      <c r="A36">
        <v>75</v>
      </c>
      <c r="B36" t="s">
        <v>31</v>
      </c>
      <c r="K36" s="109"/>
    </row>
    <row r="37" spans="1:11" x14ac:dyDescent="0.3">
      <c r="K37" s="109"/>
    </row>
    <row r="38" spans="1:11" x14ac:dyDescent="0.3">
      <c r="A38" t="s">
        <v>227</v>
      </c>
      <c r="K38" s="109"/>
    </row>
    <row r="39" spans="1:11" x14ac:dyDescent="0.3">
      <c r="A39" s="63">
        <f>A31</f>
        <v>100000</v>
      </c>
      <c r="B39" t="s">
        <v>79</v>
      </c>
      <c r="K39" s="109"/>
    </row>
    <row r="40" spans="1:11" x14ac:dyDescent="0.3">
      <c r="K40" s="138"/>
    </row>
    <row r="41" spans="1:11" x14ac:dyDescent="0.3">
      <c r="A41" t="s">
        <v>223</v>
      </c>
      <c r="K41" s="109"/>
    </row>
    <row r="42" spans="1:11" x14ac:dyDescent="0.3">
      <c r="A42" s="63">
        <f>A39*A36</f>
        <v>7500000</v>
      </c>
      <c r="B42" t="s">
        <v>36</v>
      </c>
      <c r="K42" s="109"/>
    </row>
    <row r="43" spans="1:11" x14ac:dyDescent="0.3">
      <c r="C43" s="11"/>
      <c r="K43" s="138"/>
    </row>
    <row r="44" spans="1:11" x14ac:dyDescent="0.3">
      <c r="A44" t="s">
        <v>224</v>
      </c>
      <c r="C44" s="11"/>
      <c r="K44" s="109"/>
    </row>
    <row r="45" spans="1:11" x14ac:dyDescent="0.3">
      <c r="A45" s="29">
        <v>0.6</v>
      </c>
      <c r="B45" t="s">
        <v>38</v>
      </c>
    </row>
    <row r="46" spans="1:11" x14ac:dyDescent="0.3">
      <c r="A46" s="30">
        <f>AVERAGE(A45,A47)</f>
        <v>0.35</v>
      </c>
      <c r="B46" s="31" t="s">
        <v>39</v>
      </c>
    </row>
    <row r="47" spans="1:11" x14ac:dyDescent="0.3">
      <c r="A47" s="29">
        <v>0.1</v>
      </c>
      <c r="B47" t="s">
        <v>37</v>
      </c>
    </row>
    <row r="49" spans="1:5" x14ac:dyDescent="0.3">
      <c r="A49" t="s">
        <v>226</v>
      </c>
    </row>
    <row r="50" spans="1:5" x14ac:dyDescent="0.3">
      <c r="A50" s="63">
        <f>A42*(1-A46)</f>
        <v>4875000</v>
      </c>
      <c r="B50" t="s">
        <v>36</v>
      </c>
    </row>
    <row r="52" spans="1:5" x14ac:dyDescent="0.3">
      <c r="A52" s="5" t="s">
        <v>9</v>
      </c>
    </row>
    <row r="53" spans="1:5" x14ac:dyDescent="0.3">
      <c r="A53" s="2" t="s">
        <v>40</v>
      </c>
    </row>
    <row r="54" spans="1:5" x14ac:dyDescent="0.3">
      <c r="A54" s="2" t="s">
        <v>41</v>
      </c>
    </row>
    <row r="56" spans="1:5" x14ac:dyDescent="0.3">
      <c r="A56" t="s">
        <v>48</v>
      </c>
    </row>
    <row r="57" spans="1:5" x14ac:dyDescent="0.3">
      <c r="A57">
        <v>2.2046199999999998</v>
      </c>
      <c r="B57" t="s">
        <v>49</v>
      </c>
      <c r="E57" s="5" t="s">
        <v>50</v>
      </c>
    </row>
    <row r="58" spans="1:5" x14ac:dyDescent="0.3">
      <c r="A58">
        <v>0.1</v>
      </c>
      <c r="B58" t="s">
        <v>19</v>
      </c>
      <c r="E58" t="s">
        <v>10</v>
      </c>
    </row>
    <row r="59" spans="1:5" x14ac:dyDescent="0.3">
      <c r="A59">
        <v>0.2</v>
      </c>
      <c r="B59" t="s">
        <v>20</v>
      </c>
      <c r="E59" t="s">
        <v>21</v>
      </c>
    </row>
    <row r="60" spans="1:5" x14ac:dyDescent="0.3">
      <c r="A60">
        <v>4.1000000000000002E-2</v>
      </c>
      <c r="B60" t="s">
        <v>23</v>
      </c>
      <c r="E60" t="s">
        <v>22</v>
      </c>
    </row>
    <row r="61" spans="1:5" x14ac:dyDescent="0.3">
      <c r="A61">
        <v>1.5714285714285714</v>
      </c>
      <c r="B61" t="s">
        <v>11</v>
      </c>
      <c r="E61" t="s">
        <v>18</v>
      </c>
    </row>
    <row r="62" spans="1:5" x14ac:dyDescent="0.3">
      <c r="A62">
        <v>265</v>
      </c>
      <c r="B62" t="s">
        <v>12</v>
      </c>
      <c r="E62" t="s">
        <v>17</v>
      </c>
    </row>
    <row r="63" spans="1:5" x14ac:dyDescent="0.3">
      <c r="A63">
        <v>0.27272727272727271</v>
      </c>
      <c r="B63" t="s">
        <v>13</v>
      </c>
      <c r="E63" t="s">
        <v>16</v>
      </c>
    </row>
    <row r="64" spans="1:5" x14ac:dyDescent="0.3">
      <c r="A64">
        <v>0.01</v>
      </c>
      <c r="B64" t="s">
        <v>14</v>
      </c>
      <c r="E64" t="s">
        <v>15</v>
      </c>
    </row>
    <row r="65" spans="1:12" x14ac:dyDescent="0.3">
      <c r="A65">
        <v>1000</v>
      </c>
      <c r="B65" t="s">
        <v>51</v>
      </c>
      <c r="E65" t="s">
        <v>29</v>
      </c>
    </row>
    <row r="66" spans="1:12" ht="15" thickBot="1" x14ac:dyDescent="0.35"/>
    <row r="67" spans="1:12" ht="44.4" thickTop="1" thickBot="1" x14ac:dyDescent="0.35">
      <c r="A67" s="17" t="s">
        <v>44</v>
      </c>
      <c r="B67" s="35" t="s">
        <v>46</v>
      </c>
      <c r="C67" s="35" t="s">
        <v>47</v>
      </c>
      <c r="D67" s="35" t="s">
        <v>42</v>
      </c>
      <c r="E67" s="35" t="s">
        <v>43</v>
      </c>
      <c r="F67" s="35" t="s">
        <v>52</v>
      </c>
      <c r="G67" s="35" t="s">
        <v>24</v>
      </c>
      <c r="H67" s="35" t="s">
        <v>25</v>
      </c>
      <c r="I67" s="35" t="s">
        <v>26</v>
      </c>
      <c r="J67" s="35" t="s">
        <v>27</v>
      </c>
      <c r="K67" s="36" t="s">
        <v>28</v>
      </c>
    </row>
    <row r="68" spans="1:12" ht="30.6" customHeight="1" thickTop="1" x14ac:dyDescent="0.3">
      <c r="A68" s="37" t="s">
        <v>45</v>
      </c>
      <c r="B68" s="24">
        <f>A36</f>
        <v>75</v>
      </c>
      <c r="C68" s="21">
        <f>B68/$A$57</f>
        <v>34.019468207672979</v>
      </c>
      <c r="D68" s="21">
        <f>(C68*(1-$A$58))</f>
        <v>30.617521386905683</v>
      </c>
      <c r="E68" s="38">
        <f>C68*$A$58</f>
        <v>3.4019468207672983</v>
      </c>
      <c r="F68" s="39">
        <f>(D68)/$A$65*$A$64*$A$61</f>
        <v>4.8113247893708932E-4</v>
      </c>
      <c r="G68" s="39">
        <f>(E68)/$A$65*$A$64*$A$61</f>
        <v>5.3459164326343261E-5</v>
      </c>
      <c r="H68" s="39">
        <f>F68*$A$62*$A$63*10^-6</f>
        <v>3.4772756432271451E-8</v>
      </c>
      <c r="I68" s="39">
        <f>G68*$A$62*$A$63*10^-6</f>
        <v>3.8636396035857171E-9</v>
      </c>
      <c r="J68" s="39">
        <f>H68/$A$63</f>
        <v>1.2750010691832867E-7</v>
      </c>
      <c r="K68" s="44">
        <f>I68/$A$63</f>
        <v>1.4166678546480963E-8</v>
      </c>
      <c r="L68" s="10"/>
    </row>
    <row r="69" spans="1:12" ht="30.6" customHeight="1" thickBot="1" x14ac:dyDescent="0.35">
      <c r="A69" s="40" t="s">
        <v>225</v>
      </c>
      <c r="B69" s="12">
        <f>B68*(1-$A$46)</f>
        <v>48.75</v>
      </c>
      <c r="C69" s="23">
        <f>B69/$A$57</f>
        <v>22.112654334987436</v>
      </c>
      <c r="D69" s="23">
        <f t="shared" ref="D69" si="0">(C69*(1-$A$58))</f>
        <v>19.901388901488694</v>
      </c>
      <c r="E69" s="25">
        <f t="shared" ref="E69" si="1">C69*$A$58</f>
        <v>2.2112654334987436</v>
      </c>
      <c r="F69" s="154">
        <f t="shared" ref="F69" si="2">(D69)/$A$65*$A$64*$A$61</f>
        <v>3.1273611130910807E-4</v>
      </c>
      <c r="G69" s="154">
        <f t="shared" ref="G69" si="3">(E69)/$A$65*$A$64*$A$61</f>
        <v>3.4748456812123115E-5</v>
      </c>
      <c r="H69" s="154">
        <f t="shared" ref="H69" si="4">F69*$A$62*$A$63*10^-6</f>
        <v>2.2602291680976446E-8</v>
      </c>
      <c r="I69" s="154">
        <f t="shared" ref="I69" si="5">G69*$A$62*$A$63*10^-6</f>
        <v>2.511365742330716E-9</v>
      </c>
      <c r="J69" s="154">
        <f t="shared" ref="J69" si="6">H69/$A$63</f>
        <v>8.2875069496913643E-8</v>
      </c>
      <c r="K69" s="155">
        <f t="shared" ref="K69" si="7">I69/$A$63</f>
        <v>9.2083410552126267E-9</v>
      </c>
      <c r="L69" s="10"/>
    </row>
    <row r="70" spans="1:12" ht="15" thickTop="1" x14ac:dyDescent="0.3"/>
    <row r="71" spans="1:12" ht="15" thickBot="1" x14ac:dyDescent="0.35">
      <c r="A71" s="3" t="s">
        <v>279</v>
      </c>
    </row>
    <row r="72" spans="1:12" ht="58.8" thickTop="1" thickBot="1" x14ac:dyDescent="0.35">
      <c r="A72" s="17" t="s">
        <v>228</v>
      </c>
      <c r="B72" s="8" t="s">
        <v>229</v>
      </c>
      <c r="C72" s="35" t="s">
        <v>53</v>
      </c>
      <c r="D72" s="50" t="s">
        <v>54</v>
      </c>
      <c r="E72" s="36" t="s">
        <v>60</v>
      </c>
    </row>
    <row r="73" spans="1:12" ht="27" customHeight="1" thickTop="1" x14ac:dyDescent="0.3">
      <c r="A73" s="26">
        <v>1</v>
      </c>
      <c r="B73" s="149">
        <v>100000</v>
      </c>
      <c r="C73" s="39">
        <f>(($J$68+$K$68)-($J$69+$K$69))*B73</f>
        <v>4.9583374912683352E-3</v>
      </c>
      <c r="D73" s="150" t="s">
        <v>152</v>
      </c>
      <c r="E73" s="151" t="s">
        <v>152</v>
      </c>
      <c r="G73" s="94"/>
      <c r="H73" s="94"/>
      <c r="I73" s="94"/>
    </row>
    <row r="74" spans="1:12" ht="27" customHeight="1" x14ac:dyDescent="0.3">
      <c r="A74" s="152">
        <v>2</v>
      </c>
      <c r="B74" s="112">
        <v>200000</v>
      </c>
      <c r="C74" s="32">
        <f t="shared" ref="C74:C77" si="8">(($J$68+$K$68)-($J$69+$K$69))*B74</f>
        <v>9.9166749825366704E-3</v>
      </c>
      <c r="D74" s="148" t="s">
        <v>152</v>
      </c>
      <c r="E74" s="153" t="s">
        <v>152</v>
      </c>
    </row>
    <row r="75" spans="1:12" ht="27" customHeight="1" x14ac:dyDescent="0.3">
      <c r="A75" s="152">
        <v>3</v>
      </c>
      <c r="B75" s="112">
        <v>300000</v>
      </c>
      <c r="C75" s="32">
        <f t="shared" si="8"/>
        <v>1.4875012473805007E-2</v>
      </c>
      <c r="D75" s="148" t="s">
        <v>152</v>
      </c>
      <c r="E75" s="153" t="s">
        <v>152</v>
      </c>
    </row>
    <row r="76" spans="1:12" ht="27" customHeight="1" x14ac:dyDescent="0.3">
      <c r="A76" s="152">
        <v>4</v>
      </c>
      <c r="B76" s="112">
        <v>400000</v>
      </c>
      <c r="C76" s="32">
        <f t="shared" si="8"/>
        <v>1.9833349965073341E-2</v>
      </c>
      <c r="D76" s="148" t="s">
        <v>152</v>
      </c>
      <c r="E76" s="153" t="s">
        <v>152</v>
      </c>
    </row>
    <row r="77" spans="1:12" ht="27" customHeight="1" x14ac:dyDescent="0.3">
      <c r="A77" s="152">
        <v>5</v>
      </c>
      <c r="B77" s="112">
        <v>500000</v>
      </c>
      <c r="C77" s="32">
        <f t="shared" si="8"/>
        <v>2.4791687456341679E-2</v>
      </c>
      <c r="D77" s="148" t="s">
        <v>152</v>
      </c>
      <c r="E77" s="153" t="s">
        <v>152</v>
      </c>
    </row>
    <row r="78" spans="1:12" ht="27" customHeight="1" thickBot="1" x14ac:dyDescent="0.35">
      <c r="A78" s="27" t="s">
        <v>3</v>
      </c>
      <c r="B78" s="141">
        <f>B77</f>
        <v>500000</v>
      </c>
      <c r="C78" s="147" t="s">
        <v>152</v>
      </c>
      <c r="D78" s="146">
        <f>SUM(C73:C77)</f>
        <v>7.4375062369025025E-2</v>
      </c>
      <c r="E78" s="145">
        <f>D78+(C77*20)</f>
        <v>0.57020881149585856</v>
      </c>
    </row>
    <row r="79" spans="1:12" ht="15" thickTop="1" x14ac:dyDescent="0.3">
      <c r="A79" t="s">
        <v>230</v>
      </c>
    </row>
  </sheetData>
  <mergeCells count="6">
    <mergeCell ref="A15:B17"/>
    <mergeCell ref="C15:D15"/>
    <mergeCell ref="C16:D16"/>
    <mergeCell ref="A18:B18"/>
    <mergeCell ref="A33:J33"/>
    <mergeCell ref="A23:J23"/>
  </mergeCells>
  <phoneticPr fontId="11" type="noConversion"/>
  <dataValidations count="1">
    <dataValidation allowBlank="1" showErrorMessage="1" sqref="B67:C67" xr:uid="{A295DB4B-FCAC-4650-A7BA-815FDAD5BCC9}"/>
  </dataValidations>
  <pageMargins left="0.7" right="0.7" top="0.75" bottom="0.75" header="0.3" footer="0.3"/>
  <pageSetup scale="67" orientation="landscape" r:id="rId1"/>
  <rowBreaks count="1" manualBreakCount="1">
    <brk id="4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F218E-4115-47F8-BFC8-367CE754EDB3}">
  <dimension ref="A1:I51"/>
  <sheetViews>
    <sheetView view="pageBreakPreview" topLeftCell="A18" zoomScaleNormal="100" zoomScaleSheetLayoutView="100" workbookViewId="0">
      <selection activeCell="A6" sqref="A6:F16"/>
    </sheetView>
  </sheetViews>
  <sheetFormatPr defaultRowHeight="14.4" x14ac:dyDescent="0.3"/>
  <cols>
    <col min="2" max="2" width="16.5546875" customWidth="1"/>
    <col min="3" max="3" width="15.6640625" customWidth="1"/>
    <col min="4" max="4" width="12.6640625" customWidth="1"/>
    <col min="5" max="5" width="17" customWidth="1"/>
  </cols>
  <sheetData>
    <row r="1" spans="1:6" x14ac:dyDescent="0.3">
      <c r="A1" s="1" t="s">
        <v>0</v>
      </c>
    </row>
    <row r="2" spans="1:6" x14ac:dyDescent="0.3">
      <c r="A2" s="1" t="s">
        <v>421</v>
      </c>
    </row>
    <row r="3" spans="1:6" x14ac:dyDescent="0.3">
      <c r="A3" s="1" t="s">
        <v>420</v>
      </c>
    </row>
    <row r="5" spans="1:6" x14ac:dyDescent="0.3">
      <c r="A5" s="1" t="s">
        <v>1</v>
      </c>
      <c r="B5" s="1" t="s">
        <v>86</v>
      </c>
    </row>
    <row r="7" spans="1:6" x14ac:dyDescent="0.3">
      <c r="A7" s="1" t="s">
        <v>8</v>
      </c>
    </row>
    <row r="8" spans="1:6" x14ac:dyDescent="0.3">
      <c r="A8" t="s">
        <v>281</v>
      </c>
    </row>
    <row r="9" spans="1:6" x14ac:dyDescent="0.3">
      <c r="A9" t="s">
        <v>280</v>
      </c>
      <c r="C9" s="237">
        <v>8215955</v>
      </c>
      <c r="F9" s="233"/>
    </row>
    <row r="10" spans="1:6" x14ac:dyDescent="0.3">
      <c r="C10" s="237">
        <v>9737193</v>
      </c>
      <c r="F10" s="233"/>
    </row>
    <row r="11" spans="1:6" ht="15.6" x14ac:dyDescent="0.3">
      <c r="A11" s="114" t="s">
        <v>182</v>
      </c>
      <c r="B11" s="1"/>
      <c r="C11" s="237">
        <v>9816744</v>
      </c>
      <c r="F11" s="233"/>
    </row>
    <row r="12" spans="1:6" x14ac:dyDescent="0.3">
      <c r="A12" s="1"/>
      <c r="B12" s="1"/>
      <c r="C12" s="237"/>
      <c r="F12" s="233"/>
    </row>
    <row r="13" spans="1:6" x14ac:dyDescent="0.3">
      <c r="A13" s="287" t="s">
        <v>56</v>
      </c>
      <c r="B13" s="288"/>
      <c r="C13" s="285" t="s">
        <v>57</v>
      </c>
      <c r="D13" s="286"/>
      <c r="E13" s="59" t="s">
        <v>183</v>
      </c>
      <c r="F13" s="233"/>
    </row>
    <row r="14" spans="1:6" ht="15.6" x14ac:dyDescent="0.3">
      <c r="A14" s="289"/>
      <c r="B14" s="290"/>
      <c r="C14" s="285" t="s">
        <v>184</v>
      </c>
      <c r="D14" s="286"/>
      <c r="E14" s="59" t="s">
        <v>185</v>
      </c>
      <c r="F14" s="233"/>
    </row>
    <row r="15" spans="1:6" x14ac:dyDescent="0.3">
      <c r="A15" s="291"/>
      <c r="B15" s="292"/>
      <c r="C15" s="239" t="s">
        <v>58</v>
      </c>
      <c r="D15" s="115" t="s">
        <v>59</v>
      </c>
      <c r="E15" s="61" t="s">
        <v>186</v>
      </c>
      <c r="F15" s="233"/>
    </row>
    <row r="16" spans="1:6" ht="33" customHeight="1" x14ac:dyDescent="0.3">
      <c r="A16" s="300" t="s">
        <v>86</v>
      </c>
      <c r="B16" s="300"/>
      <c r="C16" s="255">
        <f>D49</f>
        <v>0.125</v>
      </c>
      <c r="D16" s="256">
        <f>E49</f>
        <v>1.125</v>
      </c>
      <c r="E16" s="257">
        <f>B18/(C16*1000000)</f>
        <v>80</v>
      </c>
      <c r="F16" s="254"/>
    </row>
    <row r="17" spans="1:9" x14ac:dyDescent="0.3">
      <c r="A17" s="1"/>
      <c r="B17" s="1"/>
    </row>
    <row r="18" spans="1:9" x14ac:dyDescent="0.3">
      <c r="A18" s="1" t="s">
        <v>193</v>
      </c>
      <c r="B18" s="156">
        <f>Summary!C14</f>
        <v>10000000</v>
      </c>
    </row>
    <row r="20" spans="1:9" x14ac:dyDescent="0.3">
      <c r="A20" s="1" t="s">
        <v>2</v>
      </c>
    </row>
    <row r="21" spans="1:9" ht="32.25" customHeight="1" x14ac:dyDescent="0.3">
      <c r="A21" s="298" t="s">
        <v>284</v>
      </c>
      <c r="B21" s="298"/>
      <c r="C21" s="298"/>
      <c r="D21" s="298"/>
      <c r="E21" s="298"/>
      <c r="F21" s="298"/>
      <c r="G21" s="298"/>
      <c r="H21" s="298"/>
      <c r="I21" s="298"/>
    </row>
    <row r="22" spans="1:9" x14ac:dyDescent="0.3">
      <c r="A22" s="1"/>
    </row>
    <row r="23" spans="1:9" x14ac:dyDescent="0.3">
      <c r="A23" s="5" t="s">
        <v>137</v>
      </c>
    </row>
    <row r="24" spans="1:9" x14ac:dyDescent="0.3">
      <c r="A24" s="63">
        <v>100000</v>
      </c>
      <c r="B24" t="s">
        <v>273</v>
      </c>
    </row>
    <row r="25" spans="1:9" x14ac:dyDescent="0.3">
      <c r="A25" s="63">
        <f>A24/4</f>
        <v>25000</v>
      </c>
      <c r="B25" t="s">
        <v>274</v>
      </c>
    </row>
    <row r="26" spans="1:9" x14ac:dyDescent="0.3">
      <c r="B26" t="s">
        <v>275</v>
      </c>
    </row>
    <row r="28" spans="1:9" x14ac:dyDescent="0.3">
      <c r="A28" t="s">
        <v>276</v>
      </c>
    </row>
    <row r="29" spans="1:9" x14ac:dyDescent="0.3">
      <c r="A29" s="29">
        <v>0.01</v>
      </c>
      <c r="B29" t="s">
        <v>270</v>
      </c>
    </row>
    <row r="30" spans="1:9" x14ac:dyDescent="0.3">
      <c r="A30" s="29"/>
    </row>
    <row r="31" spans="1:9" x14ac:dyDescent="0.3">
      <c r="A31" t="s">
        <v>277</v>
      </c>
    </row>
    <row r="32" spans="1:9" x14ac:dyDescent="0.3">
      <c r="A32" s="29">
        <v>0.08</v>
      </c>
      <c r="B32" t="s">
        <v>278</v>
      </c>
    </row>
    <row r="33" spans="1:5" x14ac:dyDescent="0.3">
      <c r="A33" s="173" t="s">
        <v>233</v>
      </c>
    </row>
    <row r="34" spans="1:5" x14ac:dyDescent="0.3">
      <c r="A34" s="29">
        <v>0.12</v>
      </c>
      <c r="B34" t="s">
        <v>278</v>
      </c>
    </row>
    <row r="36" spans="1:5" x14ac:dyDescent="0.3">
      <c r="A36" t="s">
        <v>282</v>
      </c>
    </row>
    <row r="37" spans="1:5" x14ac:dyDescent="0.3">
      <c r="A37" s="67" t="s">
        <v>285</v>
      </c>
      <c r="B37" t="s">
        <v>286</v>
      </c>
    </row>
    <row r="38" spans="1:5" x14ac:dyDescent="0.3">
      <c r="A38" s="67">
        <v>0.5</v>
      </c>
      <c r="B38" t="s">
        <v>283</v>
      </c>
    </row>
    <row r="40" spans="1:5" x14ac:dyDescent="0.3">
      <c r="A40" s="5" t="s">
        <v>9</v>
      </c>
    </row>
    <row r="41" spans="1:5" x14ac:dyDescent="0.3">
      <c r="A41" s="5"/>
    </row>
    <row r="42" spans="1:5" ht="15" thickBot="1" x14ac:dyDescent="0.35">
      <c r="A42" s="139" t="s">
        <v>279</v>
      </c>
    </row>
    <row r="43" spans="1:5" ht="77.25" customHeight="1" thickTop="1" thickBot="1" x14ac:dyDescent="0.35">
      <c r="A43" s="174" t="s">
        <v>228</v>
      </c>
      <c r="B43" s="175" t="s">
        <v>229</v>
      </c>
      <c r="C43" s="142" t="s">
        <v>53</v>
      </c>
      <c r="D43" s="143" t="s">
        <v>54</v>
      </c>
      <c r="E43" s="144" t="s">
        <v>60</v>
      </c>
    </row>
    <row r="44" spans="1:5" ht="29.4" thickTop="1" x14ac:dyDescent="0.3">
      <c r="A44" s="177">
        <v>1</v>
      </c>
      <c r="B44" s="178" t="s">
        <v>272</v>
      </c>
      <c r="C44" s="179" t="s">
        <v>152</v>
      </c>
      <c r="D44" s="150" t="s">
        <v>152</v>
      </c>
      <c r="E44" s="151" t="s">
        <v>152</v>
      </c>
    </row>
    <row r="45" spans="1:5" x14ac:dyDescent="0.3">
      <c r="A45" s="180">
        <v>2</v>
      </c>
      <c r="B45" s="112">
        <v>25000</v>
      </c>
      <c r="C45" s="176">
        <f>B45*$A$38/1000000</f>
        <v>1.2500000000000001E-2</v>
      </c>
      <c r="D45" s="148" t="s">
        <v>152</v>
      </c>
      <c r="E45" s="153" t="s">
        <v>152</v>
      </c>
    </row>
    <row r="46" spans="1:5" x14ac:dyDescent="0.3">
      <c r="A46" s="180">
        <v>3</v>
      </c>
      <c r="B46" s="112">
        <v>50000</v>
      </c>
      <c r="C46" s="176">
        <f t="shared" ref="C46:C48" si="0">B46*$A$38/1000000</f>
        <v>2.5000000000000001E-2</v>
      </c>
      <c r="D46" s="148" t="s">
        <v>152</v>
      </c>
      <c r="E46" s="153" t="s">
        <v>152</v>
      </c>
    </row>
    <row r="47" spans="1:5" x14ac:dyDescent="0.3">
      <c r="A47" s="180">
        <v>4</v>
      </c>
      <c r="B47" s="112">
        <v>75000</v>
      </c>
      <c r="C47" s="176">
        <f t="shared" si="0"/>
        <v>3.7499999999999999E-2</v>
      </c>
      <c r="D47" s="148" t="s">
        <v>152</v>
      </c>
      <c r="E47" s="153" t="s">
        <v>152</v>
      </c>
    </row>
    <row r="48" spans="1:5" x14ac:dyDescent="0.3">
      <c r="A48" s="180">
        <v>5</v>
      </c>
      <c r="B48" s="112">
        <v>100000</v>
      </c>
      <c r="C48" s="176">
        <f t="shared" si="0"/>
        <v>0.05</v>
      </c>
      <c r="D48" s="148" t="s">
        <v>152</v>
      </c>
      <c r="E48" s="153" t="s">
        <v>152</v>
      </c>
    </row>
    <row r="49" spans="1:9" ht="15" thickBot="1" x14ac:dyDescent="0.35">
      <c r="A49" s="27" t="s">
        <v>3</v>
      </c>
      <c r="B49" s="141">
        <f>B48</f>
        <v>100000</v>
      </c>
      <c r="C49" s="181" t="s">
        <v>152</v>
      </c>
      <c r="D49" s="41">
        <f>SUM(C44:C48)</f>
        <v>0.125</v>
      </c>
      <c r="E49" s="45">
        <f>D49+(C48*20)</f>
        <v>1.125</v>
      </c>
    </row>
    <row r="50" spans="1:9" ht="15" thickTop="1" x14ac:dyDescent="0.3">
      <c r="A50" t="s">
        <v>311</v>
      </c>
    </row>
    <row r="51" spans="1:9" ht="32.25" customHeight="1" x14ac:dyDescent="0.3">
      <c r="A51" s="298" t="s">
        <v>287</v>
      </c>
      <c r="B51" s="298"/>
      <c r="C51" s="298"/>
      <c r="D51" s="298"/>
      <c r="E51" s="298"/>
      <c r="F51" s="298"/>
      <c r="G51" s="298"/>
      <c r="H51" s="298"/>
      <c r="I51" s="298"/>
    </row>
  </sheetData>
  <mergeCells count="6">
    <mergeCell ref="A51:I51"/>
    <mergeCell ref="A13:B15"/>
    <mergeCell ref="C13:D13"/>
    <mergeCell ref="C14:D14"/>
    <mergeCell ref="A16:B16"/>
    <mergeCell ref="A21:I21"/>
  </mergeCells>
  <pageMargins left="0.7" right="0.7" top="0.75" bottom="0.75" header="0.3" footer="0.3"/>
  <pageSetup orientation="landscape" r:id="rId1"/>
  <rowBreaks count="1" manualBreakCount="1">
    <brk id="3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86B6-4616-4BF7-B1F9-5E0D847475AF}">
  <dimension ref="A1:K149"/>
  <sheetViews>
    <sheetView view="pageBreakPreview" topLeftCell="A113" zoomScaleNormal="100" zoomScaleSheetLayoutView="100" workbookViewId="0">
      <selection activeCell="A6" sqref="A6:F16"/>
    </sheetView>
  </sheetViews>
  <sheetFormatPr defaultRowHeight="14.4" x14ac:dyDescent="0.3"/>
  <cols>
    <col min="1" max="1" width="18.88671875" customWidth="1"/>
    <col min="2" max="2" width="14.6640625" customWidth="1"/>
    <col min="3" max="3" width="16.109375" customWidth="1"/>
    <col min="4" max="4" width="12.33203125" customWidth="1"/>
    <col min="5" max="5" width="16.44140625" customWidth="1"/>
    <col min="6" max="6" width="14.6640625" customWidth="1"/>
    <col min="7" max="7" width="14.109375" bestFit="1" customWidth="1"/>
    <col min="8" max="8" width="13" bestFit="1" customWidth="1"/>
  </cols>
  <sheetData>
    <row r="1" spans="1:9" x14ac:dyDescent="0.3">
      <c r="A1" s="1" t="s">
        <v>0</v>
      </c>
    </row>
    <row r="2" spans="1:9" x14ac:dyDescent="0.3">
      <c r="A2" s="1" t="s">
        <v>421</v>
      </c>
    </row>
    <row r="3" spans="1:9" x14ac:dyDescent="0.3">
      <c r="A3" s="1" t="s">
        <v>420</v>
      </c>
    </row>
    <row r="5" spans="1:9" x14ac:dyDescent="0.3">
      <c r="A5" s="1" t="s">
        <v>1</v>
      </c>
      <c r="B5" s="1" t="s">
        <v>87</v>
      </c>
    </row>
    <row r="7" spans="1:9" x14ac:dyDescent="0.3">
      <c r="A7" s="1" t="s">
        <v>8</v>
      </c>
    </row>
    <row r="8" spans="1:9" ht="32.25" customHeight="1" x14ac:dyDescent="0.3">
      <c r="A8" s="298" t="s">
        <v>298</v>
      </c>
      <c r="B8" s="298"/>
      <c r="C8" s="298"/>
      <c r="D8" s="298"/>
      <c r="E8" s="298"/>
      <c r="F8" s="298"/>
      <c r="G8" s="298"/>
      <c r="H8" s="298"/>
      <c r="I8" s="298"/>
    </row>
    <row r="9" spans="1:9" x14ac:dyDescent="0.3">
      <c r="A9" t="s">
        <v>324</v>
      </c>
      <c r="C9" s="237">
        <v>8215955</v>
      </c>
      <c r="F9" s="233"/>
    </row>
    <row r="10" spans="1:9" ht="32.25" customHeight="1" x14ac:dyDescent="0.3">
      <c r="A10" s="298" t="s">
        <v>445</v>
      </c>
      <c r="B10" s="298"/>
      <c r="C10" s="305"/>
      <c r="D10" s="298"/>
      <c r="E10" s="298"/>
      <c r="F10" s="306"/>
      <c r="G10" s="298"/>
      <c r="H10" s="298"/>
      <c r="I10" s="298"/>
    </row>
    <row r="11" spans="1:9" x14ac:dyDescent="0.3">
      <c r="C11" s="237">
        <v>9816744</v>
      </c>
      <c r="F11" s="233"/>
    </row>
    <row r="12" spans="1:9" ht="15.6" x14ac:dyDescent="0.3">
      <c r="A12" s="114" t="s">
        <v>182</v>
      </c>
      <c r="B12" s="1"/>
      <c r="C12" s="237"/>
      <c r="F12" s="233"/>
    </row>
    <row r="13" spans="1:9" x14ac:dyDescent="0.3">
      <c r="A13" s="1"/>
      <c r="B13" s="1"/>
      <c r="C13" s="237"/>
      <c r="F13" s="233"/>
    </row>
    <row r="14" spans="1:9" ht="15" customHeight="1" x14ac:dyDescent="0.3">
      <c r="A14" s="286" t="s">
        <v>56</v>
      </c>
      <c r="B14" s="286"/>
      <c r="C14" s="285" t="s">
        <v>57</v>
      </c>
      <c r="D14" s="286"/>
      <c r="E14" s="59" t="s">
        <v>183</v>
      </c>
      <c r="F14" s="233"/>
    </row>
    <row r="15" spans="1:9" ht="18" customHeight="1" x14ac:dyDescent="0.3">
      <c r="A15" s="286"/>
      <c r="B15" s="286"/>
      <c r="C15" s="285" t="s">
        <v>184</v>
      </c>
      <c r="D15" s="286"/>
      <c r="E15" s="59" t="s">
        <v>185</v>
      </c>
      <c r="F15" s="233"/>
    </row>
    <row r="16" spans="1:9" x14ac:dyDescent="0.3">
      <c r="A16" s="286"/>
      <c r="B16" s="286"/>
      <c r="C16" s="238" t="s">
        <v>58</v>
      </c>
      <c r="D16" s="117" t="s">
        <v>59</v>
      </c>
      <c r="E16" s="59" t="s">
        <v>186</v>
      </c>
      <c r="F16" s="254"/>
    </row>
    <row r="17" spans="1:5" x14ac:dyDescent="0.3">
      <c r="A17" s="311" t="s">
        <v>87</v>
      </c>
      <c r="B17" s="311"/>
      <c r="C17" s="311"/>
      <c r="D17" s="311"/>
      <c r="E17" s="311"/>
    </row>
    <row r="18" spans="1:5" ht="34.5" customHeight="1" x14ac:dyDescent="0.3">
      <c r="A18" s="316" t="s">
        <v>326</v>
      </c>
      <c r="B18" s="316"/>
      <c r="C18" s="33">
        <f>D54</f>
        <v>0.34926654026544257</v>
      </c>
      <c r="D18" s="33">
        <f>E54</f>
        <v>3.1433988623889837</v>
      </c>
      <c r="E18" s="148" t="s">
        <v>152</v>
      </c>
    </row>
    <row r="19" spans="1:5" x14ac:dyDescent="0.3">
      <c r="A19" s="316" t="s">
        <v>327</v>
      </c>
      <c r="B19" s="316"/>
      <c r="C19" s="34">
        <f>D76</f>
        <v>4.3544880000000001E-3</v>
      </c>
      <c r="D19" s="34">
        <f>E76</f>
        <v>3.3384408000000004E-2</v>
      </c>
      <c r="E19" s="148" t="s">
        <v>152</v>
      </c>
    </row>
    <row r="20" spans="1:5" x14ac:dyDescent="0.3">
      <c r="A20" s="316" t="s">
        <v>328</v>
      </c>
      <c r="B20" s="316"/>
      <c r="C20" s="33">
        <f>D147</f>
        <v>1.7714057183999991E-2</v>
      </c>
      <c r="D20" s="19">
        <f>E147</f>
        <v>0.10628434310399994</v>
      </c>
      <c r="E20" s="148" t="s">
        <v>152</v>
      </c>
    </row>
    <row r="21" spans="1:5" x14ac:dyDescent="0.3">
      <c r="A21" s="316" t="s">
        <v>148</v>
      </c>
      <c r="B21" s="316"/>
      <c r="C21" s="33">
        <f>SUM(C18:C20)</f>
        <v>0.37133508544944255</v>
      </c>
      <c r="D21" s="33">
        <f>SUM(D18:D20)</f>
        <v>3.2830676134929835</v>
      </c>
      <c r="E21" s="198">
        <f>B23/(C21*1000000)</f>
        <v>26.929854979624608</v>
      </c>
    </row>
    <row r="22" spans="1:5" x14ac:dyDescent="0.3">
      <c r="A22" s="1"/>
      <c r="B22" s="1"/>
    </row>
    <row r="23" spans="1:5" x14ac:dyDescent="0.3">
      <c r="A23" s="1" t="s">
        <v>193</v>
      </c>
      <c r="B23" s="156">
        <f>Summary!C14</f>
        <v>10000000</v>
      </c>
    </row>
    <row r="25" spans="1:5" x14ac:dyDescent="0.3">
      <c r="A25" s="1" t="s">
        <v>2</v>
      </c>
    </row>
    <row r="27" spans="1:5" x14ac:dyDescent="0.3">
      <c r="A27" s="5" t="s">
        <v>291</v>
      </c>
    </row>
    <row r="29" spans="1:5" x14ac:dyDescent="0.3">
      <c r="A29" t="s">
        <v>294</v>
      </c>
    </row>
    <row r="30" spans="1:5" x14ac:dyDescent="0.3">
      <c r="A30">
        <v>220</v>
      </c>
      <c r="B30" t="s">
        <v>293</v>
      </c>
      <c r="C30" t="s">
        <v>295</v>
      </c>
    </row>
    <row r="32" spans="1:5" x14ac:dyDescent="0.3">
      <c r="A32" t="s">
        <v>296</v>
      </c>
    </row>
    <row r="33" spans="1:5" x14ac:dyDescent="0.3">
      <c r="A33" s="29">
        <v>0.5</v>
      </c>
      <c r="B33" t="s">
        <v>297</v>
      </c>
    </row>
    <row r="34" spans="1:5" x14ac:dyDescent="0.3">
      <c r="C34" t="s">
        <v>299</v>
      </c>
    </row>
    <row r="36" spans="1:5" x14ac:dyDescent="0.3">
      <c r="A36" t="s">
        <v>301</v>
      </c>
    </row>
    <row r="37" spans="1:5" x14ac:dyDescent="0.3">
      <c r="A37" s="63">
        <v>100000</v>
      </c>
      <c r="B37" t="s">
        <v>303</v>
      </c>
    </row>
    <row r="38" spans="1:5" x14ac:dyDescent="0.3">
      <c r="A38" s="63">
        <f>A37/4</f>
        <v>25000</v>
      </c>
      <c r="B38" t="s">
        <v>304</v>
      </c>
    </row>
    <row r="39" spans="1:5" x14ac:dyDescent="0.3">
      <c r="A39" s="63"/>
    </row>
    <row r="40" spans="1:5" x14ac:dyDescent="0.3">
      <c r="A40" s="139" t="s">
        <v>279</v>
      </c>
    </row>
    <row r="41" spans="1:5" x14ac:dyDescent="0.3">
      <c r="A41" s="189">
        <f>A30</f>
        <v>220</v>
      </c>
      <c r="B41" t="s">
        <v>305</v>
      </c>
    </row>
    <row r="42" spans="1:5" x14ac:dyDescent="0.3">
      <c r="A42" s="190">
        <f>A41/2204.62</f>
        <v>9.9790440075840744E-2</v>
      </c>
      <c r="B42" t="s">
        <v>306</v>
      </c>
    </row>
    <row r="43" spans="1:5" x14ac:dyDescent="0.3">
      <c r="A43" s="173">
        <f>A33</f>
        <v>0.5</v>
      </c>
      <c r="B43" t="s">
        <v>308</v>
      </c>
    </row>
    <row r="44" spans="1:5" x14ac:dyDescent="0.3">
      <c r="A44" s="190">
        <f>A42*A43</f>
        <v>4.9895220037920372E-2</v>
      </c>
      <c r="B44" t="s">
        <v>309</v>
      </c>
    </row>
    <row r="45" spans="1:5" x14ac:dyDescent="0.3">
      <c r="A45" s="192">
        <v>28</v>
      </c>
      <c r="B45" t="s">
        <v>307</v>
      </c>
    </row>
    <row r="46" spans="1:5" x14ac:dyDescent="0.3">
      <c r="A46" s="166">
        <f>A45*A44</f>
        <v>1.3970661610617705</v>
      </c>
      <c r="B46" t="s">
        <v>310</v>
      </c>
    </row>
    <row r="47" spans="1:5" ht="15" thickBot="1" x14ac:dyDescent="0.35">
      <c r="A47" s="139"/>
    </row>
    <row r="48" spans="1:5" ht="58.8" thickTop="1" thickBot="1" x14ac:dyDescent="0.35">
      <c r="A48" s="174" t="s">
        <v>228</v>
      </c>
      <c r="B48" s="175" t="s">
        <v>300</v>
      </c>
      <c r="C48" s="142" t="s">
        <v>53</v>
      </c>
      <c r="D48" s="143" t="s">
        <v>54</v>
      </c>
      <c r="E48" s="144" t="s">
        <v>60</v>
      </c>
    </row>
    <row r="49" spans="1:9" ht="29.4" thickTop="1" x14ac:dyDescent="0.3">
      <c r="A49" s="177">
        <v>1</v>
      </c>
      <c r="B49" s="178" t="s">
        <v>272</v>
      </c>
      <c r="C49" s="179" t="s">
        <v>152</v>
      </c>
      <c r="D49" s="150" t="s">
        <v>152</v>
      </c>
      <c r="E49" s="151" t="s">
        <v>152</v>
      </c>
    </row>
    <row r="50" spans="1:9" x14ac:dyDescent="0.3">
      <c r="A50" s="180">
        <v>2</v>
      </c>
      <c r="B50" s="112">
        <v>25000</v>
      </c>
      <c r="C50" s="33">
        <f>B50*$A$46/1000000</f>
        <v>3.4926654026544261E-2</v>
      </c>
      <c r="D50" s="148" t="s">
        <v>152</v>
      </c>
      <c r="E50" s="153" t="s">
        <v>152</v>
      </c>
    </row>
    <row r="51" spans="1:9" x14ac:dyDescent="0.3">
      <c r="A51" s="180">
        <v>3</v>
      </c>
      <c r="B51" s="112">
        <v>50000</v>
      </c>
      <c r="C51" s="33">
        <f>B51*$A$46/1000000</f>
        <v>6.9853308053088523E-2</v>
      </c>
      <c r="D51" s="148" t="s">
        <v>152</v>
      </c>
      <c r="E51" s="153" t="s">
        <v>152</v>
      </c>
    </row>
    <row r="52" spans="1:9" x14ac:dyDescent="0.3">
      <c r="A52" s="180">
        <v>4</v>
      </c>
      <c r="B52" s="112">
        <v>75000</v>
      </c>
      <c r="C52" s="33">
        <f t="shared" ref="C52" si="0">B52*$A$46/1000000</f>
        <v>0.10477996207963279</v>
      </c>
      <c r="D52" s="148" t="s">
        <v>152</v>
      </c>
      <c r="E52" s="153" t="s">
        <v>152</v>
      </c>
    </row>
    <row r="53" spans="1:9" x14ac:dyDescent="0.3">
      <c r="A53" s="180">
        <v>5</v>
      </c>
      <c r="B53" s="112">
        <v>100000</v>
      </c>
      <c r="C53" s="33">
        <f>B53*$A$46/1000000</f>
        <v>0.13970661610617705</v>
      </c>
      <c r="D53" s="148" t="s">
        <v>152</v>
      </c>
      <c r="E53" s="153" t="s">
        <v>152</v>
      </c>
    </row>
    <row r="54" spans="1:9" ht="15" thickBot="1" x14ac:dyDescent="0.35">
      <c r="A54" s="27" t="s">
        <v>3</v>
      </c>
      <c r="B54" s="141">
        <f>B53</f>
        <v>100000</v>
      </c>
      <c r="C54" s="181" t="s">
        <v>152</v>
      </c>
      <c r="D54" s="41">
        <f>SUM(C49:C53)</f>
        <v>0.34926654026544257</v>
      </c>
      <c r="E54" s="45">
        <f>D54+(C53*20)</f>
        <v>3.1433988623889837</v>
      </c>
    </row>
    <row r="55" spans="1:9" ht="15" thickTop="1" x14ac:dyDescent="0.3">
      <c r="A55" t="s">
        <v>312</v>
      </c>
    </row>
    <row r="57" spans="1:9" x14ac:dyDescent="0.3">
      <c r="A57" s="5" t="s">
        <v>313</v>
      </c>
    </row>
    <row r="58" spans="1:9" ht="32.25" customHeight="1" x14ac:dyDescent="0.3">
      <c r="A58" s="298" t="s">
        <v>314</v>
      </c>
      <c r="B58" s="298"/>
      <c r="C58" s="298"/>
      <c r="D58" s="298"/>
      <c r="E58" s="298"/>
      <c r="F58" s="298"/>
      <c r="G58" s="298"/>
      <c r="H58" s="298"/>
      <c r="I58" s="298"/>
    </row>
    <row r="60" spans="1:9" x14ac:dyDescent="0.3">
      <c r="A60" t="s">
        <v>137</v>
      </c>
    </row>
    <row r="61" spans="1:9" x14ac:dyDescent="0.3">
      <c r="A61">
        <v>5</v>
      </c>
      <c r="B61" t="s">
        <v>302</v>
      </c>
    </row>
    <row r="62" spans="1:9" x14ac:dyDescent="0.3">
      <c r="A62">
        <v>200</v>
      </c>
      <c r="B62" t="s">
        <v>315</v>
      </c>
    </row>
    <row r="63" spans="1:9" x14ac:dyDescent="0.3">
      <c r="A63">
        <f>A62/1000</f>
        <v>0.2</v>
      </c>
      <c r="B63" t="s">
        <v>316</v>
      </c>
    </row>
    <row r="64" spans="1:9" x14ac:dyDescent="0.3">
      <c r="A64">
        <f>A63*A61</f>
        <v>1</v>
      </c>
      <c r="B64" t="s">
        <v>317</v>
      </c>
    </row>
    <row r="65" spans="1:9" ht="15" thickBot="1" x14ac:dyDescent="0.35"/>
    <row r="66" spans="1:9" ht="44.4" thickTop="1" thickBot="1" x14ac:dyDescent="0.35">
      <c r="A66" s="17" t="s">
        <v>318</v>
      </c>
      <c r="B66" s="8" t="s">
        <v>322</v>
      </c>
      <c r="C66" s="8" t="s">
        <v>319</v>
      </c>
      <c r="D66" s="193" t="s">
        <v>320</v>
      </c>
      <c r="E66" s="55"/>
      <c r="F66" s="55"/>
    </row>
    <row r="67" spans="1:9" ht="15.6" thickTop="1" thickBot="1" x14ac:dyDescent="0.35">
      <c r="A67" s="22" t="s">
        <v>7</v>
      </c>
      <c r="B67" s="18">
        <v>0.2</v>
      </c>
      <c r="C67" s="207">
        <v>460</v>
      </c>
      <c r="D67" s="208">
        <f>320*0.907185</f>
        <v>290.29919999999998</v>
      </c>
      <c r="E67" s="195"/>
      <c r="F67" s="196"/>
    </row>
    <row r="68" spans="1:9" ht="15" thickTop="1" x14ac:dyDescent="0.3">
      <c r="A68" s="55"/>
      <c r="B68" s="10"/>
      <c r="C68" s="222"/>
      <c r="D68" s="223"/>
      <c r="E68" s="195"/>
      <c r="F68" s="196"/>
    </row>
    <row r="69" spans="1:9" ht="15" thickBot="1" x14ac:dyDescent="0.35">
      <c r="A69" t="s">
        <v>424</v>
      </c>
    </row>
    <row r="70" spans="1:9" ht="58.8" thickTop="1" thickBot="1" x14ac:dyDescent="0.35">
      <c r="A70" s="174" t="s">
        <v>228</v>
      </c>
      <c r="B70" s="175" t="s">
        <v>321</v>
      </c>
      <c r="C70" s="142" t="s">
        <v>53</v>
      </c>
      <c r="D70" s="143" t="s">
        <v>54</v>
      </c>
      <c r="E70" s="144" t="s">
        <v>60</v>
      </c>
    </row>
    <row r="71" spans="1:9" ht="15" thickTop="1" x14ac:dyDescent="0.3">
      <c r="A71" s="177">
        <v>1</v>
      </c>
      <c r="B71" s="178">
        <v>0.2</v>
      </c>
      <c r="C71" s="197">
        <f>$D$67/1000000*B71/$B$67</f>
        <v>2.9029920000000001E-4</v>
      </c>
      <c r="D71" s="150" t="s">
        <v>152</v>
      </c>
      <c r="E71" s="151" t="s">
        <v>152</v>
      </c>
    </row>
    <row r="72" spans="1:9" x14ac:dyDescent="0.3">
      <c r="A72" s="180">
        <v>2</v>
      </c>
      <c r="B72" s="194">
        <v>0.4</v>
      </c>
      <c r="C72" s="34">
        <f t="shared" ref="C72:C75" si="1">$D$67/1000000*B72/$B$67</f>
        <v>5.8059840000000001E-4</v>
      </c>
      <c r="D72" s="148" t="s">
        <v>152</v>
      </c>
      <c r="E72" s="153" t="s">
        <v>152</v>
      </c>
    </row>
    <row r="73" spans="1:9" x14ac:dyDescent="0.3">
      <c r="A73" s="180">
        <v>3</v>
      </c>
      <c r="B73" s="194">
        <v>0.6</v>
      </c>
      <c r="C73" s="34">
        <f t="shared" si="1"/>
        <v>8.7089760000000002E-4</v>
      </c>
      <c r="D73" s="148" t="s">
        <v>152</v>
      </c>
      <c r="E73" s="153" t="s">
        <v>152</v>
      </c>
    </row>
    <row r="74" spans="1:9" x14ac:dyDescent="0.3">
      <c r="A74" s="180">
        <v>4</v>
      </c>
      <c r="B74" s="194">
        <v>0.8</v>
      </c>
      <c r="C74" s="34">
        <f t="shared" si="1"/>
        <v>1.1611968E-3</v>
      </c>
      <c r="D74" s="148" t="s">
        <v>152</v>
      </c>
      <c r="E74" s="153" t="s">
        <v>152</v>
      </c>
    </row>
    <row r="75" spans="1:9" x14ac:dyDescent="0.3">
      <c r="A75" s="180">
        <v>5</v>
      </c>
      <c r="B75" s="194">
        <v>1</v>
      </c>
      <c r="C75" s="34">
        <f t="shared" si="1"/>
        <v>1.451496E-3</v>
      </c>
      <c r="D75" s="148" t="s">
        <v>152</v>
      </c>
      <c r="E75" s="153" t="s">
        <v>152</v>
      </c>
    </row>
    <row r="76" spans="1:9" ht="15" thickBot="1" x14ac:dyDescent="0.35">
      <c r="A76" s="27" t="s">
        <v>3</v>
      </c>
      <c r="B76" s="141">
        <f>B75</f>
        <v>1</v>
      </c>
      <c r="C76" s="181" t="s">
        <v>152</v>
      </c>
      <c r="D76" s="42">
        <f>SUM(C71:C75)</f>
        <v>4.3544880000000001E-3</v>
      </c>
      <c r="E76" s="43">
        <f>D76+(C75*20)</f>
        <v>3.3384408000000004E-2</v>
      </c>
    </row>
    <row r="77" spans="1:9" ht="15" thickTop="1" x14ac:dyDescent="0.3">
      <c r="A77" t="s">
        <v>323</v>
      </c>
    </row>
    <row r="78" spans="1:9" ht="32.25" customHeight="1" x14ac:dyDescent="0.3">
      <c r="A78" s="298" t="s">
        <v>325</v>
      </c>
      <c r="B78" s="298"/>
      <c r="C78" s="298"/>
      <c r="D78" s="298"/>
      <c r="E78" s="298"/>
      <c r="F78" s="298"/>
      <c r="G78" s="298"/>
      <c r="H78" s="298"/>
      <c r="I78" s="298"/>
    </row>
    <row r="80" spans="1:9" ht="15" thickBot="1" x14ac:dyDescent="0.35">
      <c r="A80" t="s">
        <v>425</v>
      </c>
    </row>
    <row r="81" spans="1:11" ht="30" thickTop="1" thickBot="1" x14ac:dyDescent="0.35">
      <c r="A81" s="22" t="s">
        <v>228</v>
      </c>
      <c r="B81" s="8" t="s">
        <v>321</v>
      </c>
      <c r="C81" s="8" t="s">
        <v>432</v>
      </c>
      <c r="D81" s="8" t="s">
        <v>426</v>
      </c>
      <c r="E81" s="8" t="s">
        <v>427</v>
      </c>
      <c r="F81" s="8" t="s">
        <v>430</v>
      </c>
      <c r="G81" s="8" t="s">
        <v>428</v>
      </c>
      <c r="H81" s="193" t="s">
        <v>429</v>
      </c>
    </row>
    <row r="82" spans="1:11" ht="15" thickTop="1" x14ac:dyDescent="0.3">
      <c r="A82" s="177">
        <v>1</v>
      </c>
      <c r="B82" s="178">
        <v>0.2</v>
      </c>
      <c r="C82" s="38">
        <f>(D82/0.85)</f>
        <v>2.3529411764705882E-2</v>
      </c>
      <c r="D82" s="38">
        <f>40/2000</f>
        <v>0.02</v>
      </c>
      <c r="E82" s="38">
        <f>210/2000</f>
        <v>0.105</v>
      </c>
      <c r="F82" s="38">
        <f>350/2000</f>
        <v>0.17499999999999999</v>
      </c>
      <c r="G82" s="38">
        <f>H82*939/61</f>
        <v>7.6967213114754102E-2</v>
      </c>
      <c r="H82" s="224">
        <f>10/2000</f>
        <v>5.0000000000000001E-3</v>
      </c>
    </row>
    <row r="83" spans="1:11" x14ac:dyDescent="0.3">
      <c r="A83" s="180">
        <v>2</v>
      </c>
      <c r="B83" s="194">
        <v>0.4</v>
      </c>
      <c r="C83" s="19">
        <f t="shared" ref="C83:H83" si="2">($B83/$B$82)*C82</f>
        <v>4.7058823529411764E-2</v>
      </c>
      <c r="D83" s="19">
        <f t="shared" si="2"/>
        <v>0.04</v>
      </c>
      <c r="E83" s="19">
        <f t="shared" si="2"/>
        <v>0.21</v>
      </c>
      <c r="F83" s="19">
        <f t="shared" si="2"/>
        <v>0.35</v>
      </c>
      <c r="G83" s="19">
        <f t="shared" si="2"/>
        <v>0.1539344262295082</v>
      </c>
      <c r="H83" s="225">
        <f t="shared" si="2"/>
        <v>0.01</v>
      </c>
    </row>
    <row r="84" spans="1:11" x14ac:dyDescent="0.3">
      <c r="A84" s="180">
        <v>3</v>
      </c>
      <c r="B84" s="194">
        <v>0.6</v>
      </c>
      <c r="C84" s="19">
        <f>($B84/$B$82)*C83</f>
        <v>0.14117647058823526</v>
      </c>
      <c r="D84" s="19">
        <f t="shared" ref="D84:D86" si="3">($B84/$B$82)*D83</f>
        <v>0.11999999999999998</v>
      </c>
      <c r="E84" s="19">
        <f t="shared" ref="E84:E86" si="4">($B84/$B$82)*E83</f>
        <v>0.62999999999999989</v>
      </c>
      <c r="F84" s="19">
        <f>($B84/$B$82)*F83</f>
        <v>1.0499999999999998</v>
      </c>
      <c r="G84" s="19">
        <f t="shared" ref="G84:G86" si="5">($B84/$B$82)*G83</f>
        <v>0.46180327868852455</v>
      </c>
      <c r="H84" s="225">
        <f t="shared" ref="H84:H86" si="6">($B84/$B$82)*H83</f>
        <v>2.9999999999999995E-2</v>
      </c>
    </row>
    <row r="85" spans="1:11" x14ac:dyDescent="0.3">
      <c r="A85" s="180">
        <v>4</v>
      </c>
      <c r="B85" s="194">
        <v>0.8</v>
      </c>
      <c r="C85" s="19">
        <f>($B85/$B$82)*C84</f>
        <v>0.56470588235294106</v>
      </c>
      <c r="D85" s="20">
        <f t="shared" si="3"/>
        <v>0.47999999999999993</v>
      </c>
      <c r="E85" s="20">
        <f t="shared" si="4"/>
        <v>2.5199999999999996</v>
      </c>
      <c r="F85" s="20">
        <f>($B85/$B$82)*F84</f>
        <v>4.1999999999999993</v>
      </c>
      <c r="G85" s="20">
        <f t="shared" si="5"/>
        <v>1.8472131147540982</v>
      </c>
      <c r="H85" s="226">
        <f t="shared" si="6"/>
        <v>0.11999999999999998</v>
      </c>
    </row>
    <row r="86" spans="1:11" x14ac:dyDescent="0.3">
      <c r="A86" s="180">
        <v>5</v>
      </c>
      <c r="B86" s="194">
        <v>1</v>
      </c>
      <c r="C86" s="19">
        <f>($B86/$B$82)*C85</f>
        <v>2.8235294117647052</v>
      </c>
      <c r="D86" s="16">
        <f t="shared" si="3"/>
        <v>2.3999999999999995</v>
      </c>
      <c r="E86" s="16">
        <f t="shared" si="4"/>
        <v>12.599999999999998</v>
      </c>
      <c r="F86" s="16">
        <f>($B86/$B$82)*F85</f>
        <v>20.999999999999996</v>
      </c>
      <c r="G86" s="16">
        <f t="shared" si="5"/>
        <v>9.2360655737704906</v>
      </c>
      <c r="H86" s="227">
        <f t="shared" si="6"/>
        <v>0.59999999999999987</v>
      </c>
    </row>
    <row r="87" spans="1:11" ht="15" thickBot="1" x14ac:dyDescent="0.35">
      <c r="A87" s="27" t="s">
        <v>423</v>
      </c>
      <c r="B87" s="228">
        <f>B86</f>
        <v>1</v>
      </c>
      <c r="C87" s="25">
        <f t="shared" ref="C87:H87" si="7">SUM(C82:C86)</f>
        <v>3.5999999999999992</v>
      </c>
      <c r="D87" s="25">
        <f t="shared" si="7"/>
        <v>3.0599999999999996</v>
      </c>
      <c r="E87" s="25">
        <f t="shared" si="7"/>
        <v>16.064999999999998</v>
      </c>
      <c r="F87" s="25">
        <f t="shared" si="7"/>
        <v>26.774999999999995</v>
      </c>
      <c r="G87" s="25">
        <f t="shared" si="7"/>
        <v>11.775983606557375</v>
      </c>
      <c r="H87" s="45">
        <f t="shared" si="7"/>
        <v>0.7649999999999999</v>
      </c>
    </row>
    <row r="88" spans="1:11" ht="15" thickTop="1" x14ac:dyDescent="0.3">
      <c r="A88" s="315" t="s">
        <v>431</v>
      </c>
      <c r="B88" s="315"/>
      <c r="C88" s="315"/>
      <c r="D88" s="315"/>
      <c r="E88" s="315"/>
      <c r="F88" s="315"/>
      <c r="G88" s="315"/>
      <c r="H88" s="315"/>
      <c r="I88" s="199"/>
      <c r="J88" s="199"/>
      <c r="K88" s="199"/>
    </row>
    <row r="89" spans="1:11" x14ac:dyDescent="0.3">
      <c r="A89" s="139"/>
      <c r="B89" s="139"/>
      <c r="C89" s="139"/>
      <c r="D89" s="139"/>
      <c r="E89" s="139"/>
      <c r="F89" s="139"/>
      <c r="G89" s="139"/>
      <c r="H89" s="139"/>
      <c r="I89" s="139"/>
      <c r="J89" s="139"/>
      <c r="K89" s="139"/>
    </row>
    <row r="90" spans="1:11" x14ac:dyDescent="0.3">
      <c r="A90" s="5" t="s">
        <v>292</v>
      </c>
    </row>
    <row r="92" spans="1:11" x14ac:dyDescent="0.3">
      <c r="A92" t="s">
        <v>446</v>
      </c>
    </row>
    <row r="93" spans="1:11" ht="30" customHeight="1" x14ac:dyDescent="0.3">
      <c r="A93" s="298" t="s">
        <v>445</v>
      </c>
      <c r="B93" s="298"/>
      <c r="C93" s="298"/>
      <c r="D93" s="298"/>
      <c r="E93" s="298"/>
      <c r="F93" s="298"/>
      <c r="G93" s="298"/>
      <c r="H93" s="298"/>
      <c r="I93" s="298"/>
    </row>
    <row r="95" spans="1:11" x14ac:dyDescent="0.3">
      <c r="A95" t="s">
        <v>389</v>
      </c>
    </row>
    <row r="96" spans="1:11" x14ac:dyDescent="0.3">
      <c r="A96">
        <v>1.8</v>
      </c>
      <c r="B96" t="s">
        <v>359</v>
      </c>
    </row>
    <row r="97" spans="1:2" x14ac:dyDescent="0.3">
      <c r="A97" s="63">
        <v>100000</v>
      </c>
      <c r="B97" t="s">
        <v>303</v>
      </c>
    </row>
    <row r="98" spans="1:2" x14ac:dyDescent="0.3">
      <c r="A98" s="63">
        <f>A97/4</f>
        <v>25000</v>
      </c>
      <c r="B98" t="s">
        <v>304</v>
      </c>
    </row>
    <row r="99" spans="1:2" x14ac:dyDescent="0.3">
      <c r="A99">
        <f>A96*A98</f>
        <v>45000</v>
      </c>
      <c r="B99" t="s">
        <v>360</v>
      </c>
    </row>
    <row r="101" spans="1:2" x14ac:dyDescent="0.3">
      <c r="A101" t="s">
        <v>388</v>
      </c>
    </row>
    <row r="102" spans="1:2" x14ac:dyDescent="0.3">
      <c r="A102" s="6" t="s">
        <v>361</v>
      </c>
      <c r="B102" s="6" t="s">
        <v>364</v>
      </c>
    </row>
    <row r="103" spans="1:2" x14ac:dyDescent="0.3">
      <c r="A103" s="6" t="s">
        <v>362</v>
      </c>
      <c r="B103" s="46">
        <v>2.7</v>
      </c>
    </row>
    <row r="104" spans="1:2" x14ac:dyDescent="0.3">
      <c r="A104" s="6" t="s">
        <v>363</v>
      </c>
      <c r="B104" s="46">
        <v>8</v>
      </c>
    </row>
    <row r="106" spans="1:2" x14ac:dyDescent="0.3">
      <c r="A106" s="57" t="s">
        <v>366</v>
      </c>
    </row>
    <row r="107" spans="1:2" x14ac:dyDescent="0.3">
      <c r="A107">
        <v>25</v>
      </c>
      <c r="B107" s="57" t="s">
        <v>365</v>
      </c>
    </row>
    <row r="108" spans="1:2" x14ac:dyDescent="0.3">
      <c r="A108" s="63">
        <f>A99</f>
        <v>45000</v>
      </c>
      <c r="B108" s="57" t="s">
        <v>368</v>
      </c>
    </row>
    <row r="109" spans="1:2" x14ac:dyDescent="0.3">
      <c r="A109" s="206">
        <f>A108*0.907185</f>
        <v>40823.325000000004</v>
      </c>
      <c r="B109" s="57" t="s">
        <v>369</v>
      </c>
    </row>
    <row r="110" spans="1:2" x14ac:dyDescent="0.3">
      <c r="A110" s="206">
        <f>A107*A109</f>
        <v>1020583.1250000001</v>
      </c>
      <c r="B110" s="57" t="s">
        <v>370</v>
      </c>
    </row>
    <row r="111" spans="1:2" x14ac:dyDescent="0.3">
      <c r="A111" s="206">
        <f>A110/1000</f>
        <v>1020.5831250000001</v>
      </c>
      <c r="B111" t="s">
        <v>367</v>
      </c>
    </row>
    <row r="113" spans="1:2" x14ac:dyDescent="0.3">
      <c r="A113" t="s">
        <v>371</v>
      </c>
    </row>
    <row r="114" spans="1:2" x14ac:dyDescent="0.3">
      <c r="A114" t="s">
        <v>377</v>
      </c>
    </row>
    <row r="115" spans="1:2" x14ac:dyDescent="0.3">
      <c r="A115" s="63">
        <f>A108</f>
        <v>45000</v>
      </c>
      <c r="B115" s="57" t="s">
        <v>368</v>
      </c>
    </row>
    <row r="116" spans="1:2" x14ac:dyDescent="0.3">
      <c r="A116" s="29">
        <v>0.12</v>
      </c>
      <c r="B116" t="s">
        <v>379</v>
      </c>
    </row>
    <row r="117" spans="1:2" x14ac:dyDescent="0.3">
      <c r="A117" s="29">
        <v>0.7</v>
      </c>
      <c r="B117" t="s">
        <v>380</v>
      </c>
    </row>
    <row r="118" spans="1:2" x14ac:dyDescent="0.3">
      <c r="A118">
        <f>A115*A116*A117</f>
        <v>3779.9999999999995</v>
      </c>
      <c r="B118" t="s">
        <v>378</v>
      </c>
    </row>
    <row r="119" spans="1:2" x14ac:dyDescent="0.3">
      <c r="A119" s="29">
        <v>0.12</v>
      </c>
      <c r="B119" t="s">
        <v>381</v>
      </c>
    </row>
    <row r="120" spans="1:2" x14ac:dyDescent="0.3">
      <c r="A120">
        <f>A119*A118</f>
        <v>453.59999999999991</v>
      </c>
      <c r="B120" t="s">
        <v>382</v>
      </c>
    </row>
    <row r="122" spans="1:2" x14ac:dyDescent="0.3">
      <c r="A122">
        <v>907.18499999999995</v>
      </c>
      <c r="B122" t="s">
        <v>383</v>
      </c>
    </row>
    <row r="123" spans="1:2" x14ac:dyDescent="0.3">
      <c r="A123" s="206">
        <f>A120*A122</f>
        <v>411499.11599999992</v>
      </c>
      <c r="B123" t="s">
        <v>384</v>
      </c>
    </row>
    <row r="124" spans="1:2" x14ac:dyDescent="0.3">
      <c r="A124">
        <f>B103</f>
        <v>2.7</v>
      </c>
      <c r="B124" t="s">
        <v>386</v>
      </c>
    </row>
    <row r="125" spans="1:2" x14ac:dyDescent="0.3">
      <c r="A125">
        <f>B104</f>
        <v>8</v>
      </c>
      <c r="B125" t="s">
        <v>387</v>
      </c>
    </row>
    <row r="127" spans="1:2" x14ac:dyDescent="0.3">
      <c r="A127" s="206">
        <f>A124*A123</f>
        <v>1111047.6131999998</v>
      </c>
      <c r="B127" t="s">
        <v>372</v>
      </c>
    </row>
    <row r="128" spans="1:2" x14ac:dyDescent="0.3">
      <c r="A128" s="206">
        <f>A125*A123</f>
        <v>3291992.9279999994</v>
      </c>
      <c r="B128" t="s">
        <v>373</v>
      </c>
    </row>
    <row r="130" spans="1:5" x14ac:dyDescent="0.3">
      <c r="A130" s="15">
        <f>A127/1000</f>
        <v>1111.0476131999999</v>
      </c>
      <c r="B130" t="s">
        <v>375</v>
      </c>
    </row>
    <row r="131" spans="1:5" x14ac:dyDescent="0.3">
      <c r="A131" s="15">
        <f>A128/1000</f>
        <v>3291.9929279999992</v>
      </c>
      <c r="B131" t="s">
        <v>374</v>
      </c>
    </row>
    <row r="133" spans="1:5" x14ac:dyDescent="0.3">
      <c r="A133" s="5" t="s">
        <v>9</v>
      </c>
    </row>
    <row r="134" spans="1:5" x14ac:dyDescent="0.3">
      <c r="A134" s="5"/>
    </row>
    <row r="135" spans="1:5" x14ac:dyDescent="0.3">
      <c r="A135" s="139" t="s">
        <v>393</v>
      </c>
    </row>
    <row r="136" spans="1:5" ht="28.8" x14ac:dyDescent="0.3">
      <c r="A136" s="61" t="s">
        <v>390</v>
      </c>
      <c r="B136" s="60" t="s">
        <v>367</v>
      </c>
    </row>
    <row r="137" spans="1:5" x14ac:dyDescent="0.3">
      <c r="A137" s="61" t="s">
        <v>376</v>
      </c>
      <c r="B137" s="112">
        <f>A111</f>
        <v>1020.5831250000001</v>
      </c>
    </row>
    <row r="138" spans="1:5" x14ac:dyDescent="0.3">
      <c r="A138" s="61" t="s">
        <v>385</v>
      </c>
      <c r="B138" s="112">
        <f>AVERAGE(A130:A131)</f>
        <v>2201.5202705999995</v>
      </c>
    </row>
    <row r="139" spans="1:5" x14ac:dyDescent="0.3">
      <c r="A139" s="61" t="s">
        <v>391</v>
      </c>
      <c r="B139" s="112">
        <f>B138-B137</f>
        <v>1180.9371455999994</v>
      </c>
    </row>
    <row r="140" spans="1:5" ht="15" thickBot="1" x14ac:dyDescent="0.35"/>
    <row r="141" spans="1:5" ht="58.8" thickTop="1" thickBot="1" x14ac:dyDescent="0.35">
      <c r="A141" s="174" t="s">
        <v>228</v>
      </c>
      <c r="B141" s="175" t="s">
        <v>392</v>
      </c>
      <c r="C141" s="142" t="s">
        <v>53</v>
      </c>
      <c r="D141" s="143" t="s">
        <v>54</v>
      </c>
      <c r="E141" s="144" t="s">
        <v>60</v>
      </c>
    </row>
    <row r="142" spans="1:5" ht="15" thickTop="1" x14ac:dyDescent="0.3">
      <c r="A142" s="177">
        <v>1</v>
      </c>
      <c r="B142" s="149">
        <f>A115</f>
        <v>45000</v>
      </c>
      <c r="C142" s="197">
        <f>$B$139/1000000</f>
        <v>1.1809371455999995E-3</v>
      </c>
      <c r="D142" s="150" t="s">
        <v>152</v>
      </c>
      <c r="E142" s="151" t="s">
        <v>152</v>
      </c>
    </row>
    <row r="143" spans="1:5" x14ac:dyDescent="0.3">
      <c r="A143" s="180">
        <v>2</v>
      </c>
      <c r="B143" s="112">
        <f>B142+$A$115</f>
        <v>90000</v>
      </c>
      <c r="C143" s="34">
        <f>C142+C142</f>
        <v>2.3618742911999989E-3</v>
      </c>
      <c r="D143" s="148" t="s">
        <v>152</v>
      </c>
      <c r="E143" s="153" t="s">
        <v>152</v>
      </c>
    </row>
    <row r="144" spans="1:5" x14ac:dyDescent="0.3">
      <c r="A144" s="180">
        <v>3</v>
      </c>
      <c r="B144" s="112">
        <f t="shared" ref="B144:B146" si="8">B143+$A$115</f>
        <v>135000</v>
      </c>
      <c r="C144" s="176">
        <f>C143+$C$142</f>
        <v>3.5428114367999984E-3</v>
      </c>
      <c r="D144" s="148" t="s">
        <v>152</v>
      </c>
      <c r="E144" s="153" t="s">
        <v>152</v>
      </c>
    </row>
    <row r="145" spans="1:5" x14ac:dyDescent="0.3">
      <c r="A145" s="180">
        <v>4</v>
      </c>
      <c r="B145" s="112">
        <f t="shared" si="8"/>
        <v>180000</v>
      </c>
      <c r="C145" s="176">
        <f t="shared" ref="C145:C146" si="9">C144+$C$142</f>
        <v>4.7237485823999979E-3</v>
      </c>
      <c r="D145" s="148" t="s">
        <v>152</v>
      </c>
      <c r="E145" s="153" t="s">
        <v>152</v>
      </c>
    </row>
    <row r="146" spans="1:5" x14ac:dyDescent="0.3">
      <c r="A146" s="180">
        <v>5</v>
      </c>
      <c r="B146" s="112">
        <f t="shared" si="8"/>
        <v>225000</v>
      </c>
      <c r="C146" s="176">
        <f t="shared" si="9"/>
        <v>5.9046857279999969E-3</v>
      </c>
      <c r="D146" s="148" t="s">
        <v>152</v>
      </c>
      <c r="E146" s="153" t="s">
        <v>152</v>
      </c>
    </row>
    <row r="147" spans="1:5" ht="15" thickBot="1" x14ac:dyDescent="0.35">
      <c r="A147" s="27" t="s">
        <v>3</v>
      </c>
      <c r="B147" s="141">
        <f>B146</f>
        <v>225000</v>
      </c>
      <c r="C147" s="181" t="s">
        <v>152</v>
      </c>
      <c r="D147" s="41">
        <f>SUM(C142:C146)</f>
        <v>1.7714057183999991E-2</v>
      </c>
      <c r="E147" s="45">
        <f>D147+(C146*15)</f>
        <v>0.10628434310399994</v>
      </c>
    </row>
    <row r="148" spans="1:5" ht="15" thickTop="1" x14ac:dyDescent="0.3">
      <c r="A148" t="s">
        <v>394</v>
      </c>
    </row>
    <row r="149" spans="1:5" x14ac:dyDescent="0.3">
      <c r="A149" t="s">
        <v>395</v>
      </c>
    </row>
  </sheetData>
  <mergeCells count="14">
    <mergeCell ref="A93:I93"/>
    <mergeCell ref="A14:B16"/>
    <mergeCell ref="C14:D14"/>
    <mergeCell ref="C15:D15"/>
    <mergeCell ref="A8:I8"/>
    <mergeCell ref="A88:H88"/>
    <mergeCell ref="A10:I10"/>
    <mergeCell ref="A58:I58"/>
    <mergeCell ref="A78:I78"/>
    <mergeCell ref="A17:E17"/>
    <mergeCell ref="A18:B18"/>
    <mergeCell ref="A19:B19"/>
    <mergeCell ref="A20:B20"/>
    <mergeCell ref="A21:B21"/>
  </mergeCells>
  <pageMargins left="0.7" right="0.7" top="0.75" bottom="0.75" header="0.3" footer="0.3"/>
  <pageSetup scale="88" orientation="landscape" r:id="rId1"/>
  <rowBreaks count="3" manualBreakCount="3">
    <brk id="31" max="16383" man="1"/>
    <brk id="59"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92682-5B8C-41F4-95DA-A5C84FC68473}">
  <dimension ref="A1:I27"/>
  <sheetViews>
    <sheetView view="pageBreakPreview" zoomScaleNormal="100" zoomScaleSheetLayoutView="100" workbookViewId="0">
      <selection activeCell="A6" sqref="A6:F16"/>
    </sheetView>
  </sheetViews>
  <sheetFormatPr defaultRowHeight="14.4" x14ac:dyDescent="0.3"/>
  <cols>
    <col min="3" max="3" width="13.6640625" bestFit="1" customWidth="1"/>
  </cols>
  <sheetData>
    <row r="1" spans="1:9" x14ac:dyDescent="0.3">
      <c r="A1" s="1" t="s">
        <v>0</v>
      </c>
    </row>
    <row r="2" spans="1:9" x14ac:dyDescent="0.3">
      <c r="A2" s="1" t="s">
        <v>421</v>
      </c>
    </row>
    <row r="3" spans="1:9" x14ac:dyDescent="0.3">
      <c r="A3" s="1" t="s">
        <v>420</v>
      </c>
    </row>
    <row r="5" spans="1:9" x14ac:dyDescent="0.3">
      <c r="A5" s="1" t="s">
        <v>456</v>
      </c>
    </row>
    <row r="7" spans="1:9" ht="15" customHeight="1" x14ac:dyDescent="0.3">
      <c r="A7" s="298" t="s">
        <v>447</v>
      </c>
      <c r="B7" s="298"/>
      <c r="C7" s="298"/>
      <c r="D7" s="298"/>
      <c r="E7" s="298"/>
      <c r="F7" s="298"/>
      <c r="G7" s="298"/>
      <c r="H7" s="298"/>
      <c r="I7" s="298"/>
    </row>
    <row r="8" spans="1:9" x14ac:dyDescent="0.3">
      <c r="A8" s="298"/>
      <c r="B8" s="298"/>
      <c r="C8" s="298"/>
      <c r="D8" s="298"/>
      <c r="E8" s="298"/>
      <c r="F8" s="298"/>
      <c r="G8" s="298"/>
      <c r="H8" s="298"/>
      <c r="I8" s="298"/>
    </row>
    <row r="9" spans="1:9" x14ac:dyDescent="0.3">
      <c r="A9" s="298"/>
      <c r="B9" s="298"/>
      <c r="C9" s="305"/>
      <c r="D9" s="298"/>
      <c r="E9" s="298"/>
      <c r="F9" s="306"/>
      <c r="G9" s="298"/>
      <c r="H9" s="298"/>
      <c r="I9" s="298"/>
    </row>
    <row r="10" spans="1:9" x14ac:dyDescent="0.3">
      <c r="C10" s="237">
        <v>9737193</v>
      </c>
      <c r="F10" s="233"/>
    </row>
    <row r="11" spans="1:9" x14ac:dyDescent="0.3">
      <c r="A11" t="s">
        <v>448</v>
      </c>
      <c r="C11" s="237">
        <v>9816744</v>
      </c>
      <c r="F11" s="233"/>
    </row>
    <row r="12" spans="1:9" x14ac:dyDescent="0.3">
      <c r="C12" s="237"/>
      <c r="F12" s="233"/>
    </row>
    <row r="13" spans="1:9" x14ac:dyDescent="0.3">
      <c r="A13" s="298" t="s">
        <v>449</v>
      </c>
      <c r="B13" s="298"/>
      <c r="C13" s="305"/>
      <c r="D13" s="298"/>
      <c r="E13" s="298"/>
      <c r="F13" s="306"/>
      <c r="G13" s="298"/>
      <c r="H13" s="298"/>
      <c r="I13" s="298"/>
    </row>
    <row r="14" spans="1:9" x14ac:dyDescent="0.3">
      <c r="C14" s="237"/>
      <c r="F14" s="233"/>
    </row>
    <row r="15" spans="1:9" ht="36" customHeight="1" x14ac:dyDescent="0.3">
      <c r="A15" s="298" t="s">
        <v>450</v>
      </c>
      <c r="B15" s="298"/>
      <c r="C15" s="305"/>
      <c r="D15" s="298"/>
      <c r="E15" s="298"/>
      <c r="F15" s="306"/>
      <c r="G15" s="298"/>
      <c r="H15" s="298"/>
      <c r="I15" s="298"/>
    </row>
    <row r="16" spans="1:9" x14ac:dyDescent="0.3">
      <c r="A16" s="1"/>
      <c r="B16" s="1"/>
      <c r="C16" s="253"/>
      <c r="D16" s="1"/>
      <c r="E16" s="1"/>
      <c r="F16" s="254"/>
    </row>
    <row r="17" spans="1:9" ht="35.25" customHeight="1" x14ac:dyDescent="0.3">
      <c r="A17" s="298" t="s">
        <v>451</v>
      </c>
      <c r="B17" s="298"/>
      <c r="C17" s="298"/>
      <c r="D17" s="298"/>
      <c r="E17" s="298"/>
      <c r="F17" s="298"/>
      <c r="G17" s="298"/>
      <c r="H17" s="298"/>
      <c r="I17" s="298"/>
    </row>
    <row r="19" spans="1:9" x14ac:dyDescent="0.3">
      <c r="A19" t="s">
        <v>452</v>
      </c>
    </row>
    <row r="21" spans="1:9" x14ac:dyDescent="0.3">
      <c r="A21" t="s">
        <v>453</v>
      </c>
    </row>
    <row r="23" spans="1:9" ht="30" customHeight="1" x14ac:dyDescent="0.3">
      <c r="A23" s="298" t="s">
        <v>454</v>
      </c>
      <c r="B23" s="298"/>
      <c r="C23" s="298"/>
      <c r="D23" s="298"/>
      <c r="E23" s="298"/>
      <c r="F23" s="298"/>
      <c r="G23" s="298"/>
      <c r="H23" s="298"/>
      <c r="I23" s="298"/>
    </row>
    <row r="25" spans="1:9" ht="31.5" customHeight="1" x14ac:dyDescent="0.3">
      <c r="A25" s="298" t="s">
        <v>83</v>
      </c>
      <c r="B25" s="298"/>
      <c r="C25" s="298"/>
      <c r="D25" s="298"/>
      <c r="E25" s="298"/>
      <c r="F25" s="298"/>
      <c r="G25" s="298"/>
      <c r="H25" s="298"/>
      <c r="I25" s="298"/>
    </row>
    <row r="27" spans="1:9" ht="29.25" customHeight="1" x14ac:dyDescent="0.3">
      <c r="A27" s="298" t="s">
        <v>455</v>
      </c>
      <c r="B27" s="298"/>
      <c r="C27" s="298"/>
      <c r="D27" s="298"/>
      <c r="E27" s="298"/>
      <c r="F27" s="298"/>
      <c r="G27" s="298"/>
      <c r="H27" s="298"/>
      <c r="I27" s="298"/>
    </row>
  </sheetData>
  <mergeCells count="7">
    <mergeCell ref="A25:I25"/>
    <mergeCell ref="A27:I27"/>
    <mergeCell ref="A7:I9"/>
    <mergeCell ref="A15:I15"/>
    <mergeCell ref="A17:I17"/>
    <mergeCell ref="A13:I13"/>
    <mergeCell ref="A23:I2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6D0ABC839E6EF4DA110A3C642F50769" ma:contentTypeVersion="6" ma:contentTypeDescription="Create a new document." ma:contentTypeScope="" ma:versionID="384277f394c4d2ef25cb3decc02e7b84">
  <xsd:schema xmlns:xsd="http://www.w3.org/2001/XMLSchema" xmlns:xs="http://www.w3.org/2001/XMLSchema" xmlns:p="http://schemas.microsoft.com/office/2006/metadata/properties" xmlns:ns2="03747694-a535-4922-ac3d-59e6efda7473" xmlns:ns3="23d2df21-b4a1-4f4a-b00b-9fba7b04f843" targetNamespace="http://schemas.microsoft.com/office/2006/metadata/properties" ma:root="true" ma:fieldsID="a4f4b0bed12da924501569673ffb0cb0" ns2:_="" ns3:_="">
    <xsd:import namespace="03747694-a535-4922-ac3d-59e6efda7473"/>
    <xsd:import namespace="23d2df21-b4a1-4f4a-b00b-9fba7b04f8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47694-a535-4922-ac3d-59e6efda74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d2df21-b4a1-4f4a-b00b-9fba7b04f84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12E87D-611E-4B25-BE7A-376CE5070038}">
  <ds:schemaRefs>
    <ds:schemaRef ds:uri="http://schemas.microsoft.com/sharepoint/v3/contenttype/forms"/>
  </ds:schemaRefs>
</ds:datastoreItem>
</file>

<file path=customXml/itemProps2.xml><?xml version="1.0" encoding="utf-8"?>
<ds:datastoreItem xmlns:ds="http://schemas.openxmlformats.org/officeDocument/2006/customXml" ds:itemID="{01C3396B-C62E-4296-AF42-51A2A8CCFCC4}">
  <ds:schemaRefs>
    <ds:schemaRef ds:uri="http://www.w3.org/XML/1998/namespace"/>
    <ds:schemaRef ds:uri="http://purl.org/dc/dcmitype/"/>
    <ds:schemaRef ds:uri="23d2df21-b4a1-4f4a-b00b-9fba7b04f843"/>
    <ds:schemaRef ds:uri="http://schemas.microsoft.com/office/2006/metadata/propertie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03747694-a535-4922-ac3d-59e6efda7473"/>
  </ds:schemaRefs>
</ds:datastoreItem>
</file>

<file path=customXml/itemProps3.xml><?xml version="1.0" encoding="utf-8"?>
<ds:datastoreItem xmlns:ds="http://schemas.openxmlformats.org/officeDocument/2006/customXml" ds:itemID="{F3FD670F-0CC6-4934-ABD4-768506A0A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47694-a535-4922-ac3d-59e6efda7473"/>
    <ds:schemaRef ds:uri="23d2df21-b4a1-4f4a-b00b-9fba7b04f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Summary</vt:lpstr>
      <vt:lpstr>1 Forest Management</vt:lpstr>
      <vt:lpstr>2 Urban Forests</vt:lpstr>
      <vt:lpstr>3 Coal Seams</vt:lpstr>
      <vt:lpstr>4 Algal</vt:lpstr>
      <vt:lpstr>5 Fertilzer</vt:lpstr>
      <vt:lpstr>6 Ranchland</vt:lpstr>
      <vt:lpstr>7 Cattle</vt:lpstr>
      <vt:lpstr>References</vt:lpstr>
      <vt:lpstr>'4 Algal'!Print_Area</vt:lpstr>
    </vt:vector>
  </TitlesOfParts>
  <Company>Tetra Tech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Murphy, Brian1</dc:creator>
  <cp:lastModifiedBy>Coleman, Autumn</cp:lastModifiedBy>
  <cp:lastPrinted>2024-02-23T10:38:23Z</cp:lastPrinted>
  <dcterms:created xsi:type="dcterms:W3CDTF">2024-02-21T23:01:22Z</dcterms:created>
  <dcterms:modified xsi:type="dcterms:W3CDTF">2024-04-01T14:43:44Z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0x010100B6D0ABC839E6EF4DA110A3C642F50769</vt:lpwstr>
  </property>
</Properties>
</file>